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weet\Desktop\"/>
    </mc:Choice>
  </mc:AlternateContent>
  <xr:revisionPtr revIDLastSave="0" documentId="8_{CEB6BDAD-6377-48D5-80F2-B70FCDC3B991}" xr6:coauthVersionLast="47" xr6:coauthVersionMax="47" xr10:uidLastSave="{00000000-0000-0000-0000-000000000000}"/>
  <bookViews>
    <workbookView xWindow="-25320" yWindow="45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726" i="1" l="1"/>
  <c r="AR1726" i="1"/>
  <c r="AQ1726" i="1"/>
  <c r="AP1726" i="1"/>
  <c r="AO1726" i="1"/>
  <c r="AN1726" i="1"/>
  <c r="AM1726" i="1"/>
  <c r="AL1726" i="1"/>
  <c r="AK1726" i="1"/>
  <c r="AJ1726" i="1"/>
  <c r="AI1726" i="1"/>
  <c r="AH1726" i="1"/>
  <c r="AG1726" i="1"/>
  <c r="AF1726" i="1"/>
  <c r="AE1726" i="1"/>
  <c r="AD1726" i="1"/>
  <c r="AC1726" i="1"/>
  <c r="AB1726" i="1"/>
  <c r="AA1726" i="1"/>
  <c r="Z1726" i="1"/>
  <c r="AS1725" i="1"/>
  <c r="AR1725" i="1"/>
  <c r="AQ1725" i="1"/>
  <c r="AP1725" i="1"/>
  <c r="AO1725" i="1"/>
  <c r="AN1725" i="1"/>
  <c r="AM1725" i="1"/>
  <c r="AL1725" i="1"/>
  <c r="AK1725" i="1"/>
  <c r="AJ1725" i="1"/>
  <c r="AI1725" i="1"/>
  <c r="AH1725" i="1"/>
  <c r="AG1725" i="1"/>
  <c r="AF1725" i="1"/>
  <c r="AE1725" i="1"/>
  <c r="AD1725" i="1"/>
  <c r="AC1725" i="1"/>
  <c r="AB1725" i="1"/>
  <c r="AA1725" i="1"/>
  <c r="Z1725" i="1"/>
  <c r="AS1714" i="1"/>
  <c r="AR1714" i="1"/>
  <c r="AQ1714" i="1"/>
  <c r="AP1714" i="1"/>
  <c r="AO1714" i="1"/>
  <c r="AN1714" i="1"/>
  <c r="AM1714" i="1"/>
  <c r="AL1714" i="1"/>
  <c r="AK1714" i="1"/>
  <c r="AJ1714" i="1"/>
  <c r="AI1714" i="1"/>
  <c r="AH1714" i="1"/>
  <c r="AG1714" i="1"/>
  <c r="AF1714" i="1"/>
  <c r="AE1714" i="1"/>
  <c r="AD1714" i="1"/>
  <c r="AC1714" i="1"/>
  <c r="AB1714" i="1"/>
  <c r="AA1714" i="1"/>
  <c r="Z1714" i="1"/>
  <c r="Y1714" i="1"/>
  <c r="AS1713" i="1"/>
  <c r="AR1713" i="1"/>
  <c r="AQ1713" i="1"/>
  <c r="AP1713" i="1"/>
  <c r="AO1713" i="1"/>
  <c r="AN1713" i="1"/>
  <c r="AM1713" i="1"/>
  <c r="AL1713" i="1"/>
  <c r="AK1713" i="1"/>
  <c r="AJ1713" i="1"/>
  <c r="AI1713" i="1"/>
  <c r="AH1713" i="1"/>
  <c r="AG1713" i="1"/>
  <c r="AF1713" i="1"/>
  <c r="AE1713" i="1"/>
  <c r="AD1713" i="1"/>
  <c r="AC1713" i="1"/>
  <c r="AB1713" i="1"/>
  <c r="AA1713" i="1"/>
  <c r="Z1713" i="1"/>
  <c r="AS1692" i="1"/>
  <c r="AR1692" i="1"/>
  <c r="AQ1692" i="1"/>
  <c r="AP1692" i="1"/>
  <c r="AO1692" i="1"/>
  <c r="AN1692" i="1"/>
  <c r="AM1692" i="1"/>
  <c r="AL1692" i="1"/>
  <c r="AK1692" i="1"/>
  <c r="AJ1692" i="1"/>
  <c r="AI1692" i="1"/>
  <c r="AH1692" i="1"/>
  <c r="AG1692" i="1"/>
  <c r="AF1692" i="1"/>
  <c r="AE1692" i="1"/>
  <c r="AD1692" i="1"/>
  <c r="AC1692" i="1"/>
  <c r="AB1692" i="1"/>
  <c r="AA1692" i="1"/>
  <c r="Z1692" i="1" l="1"/>
  <c r="AR1691" i="1"/>
  <c r="AS1691" i="1"/>
  <c r="AQ1691" i="1"/>
  <c r="AP1691" i="1"/>
  <c r="AO1691" i="1"/>
  <c r="AN1691" i="1"/>
  <c r="AM1691" i="1"/>
  <c r="AL1691" i="1"/>
  <c r="AK1691" i="1"/>
  <c r="AJ1691" i="1"/>
  <c r="AI1691" i="1"/>
  <c r="AH1691" i="1"/>
  <c r="AG1691" i="1"/>
  <c r="AF1691" i="1"/>
  <c r="AE1691" i="1"/>
  <c r="AD1691" i="1"/>
  <c r="AC1691" i="1"/>
  <c r="AB1691" i="1"/>
  <c r="AA1691" i="1"/>
  <c r="Z1691" i="1"/>
  <c r="AS1674" i="1"/>
  <c r="AS1687" i="1" s="1"/>
  <c r="AS1659" i="1"/>
  <c r="AN1682" i="1"/>
  <c r="AN1687" i="1" s="1"/>
  <c r="AN1674" i="1"/>
  <c r="AN1659" i="1"/>
  <c r="AM1659" i="1"/>
  <c r="AL1642" i="1"/>
  <c r="AK1658" i="1"/>
  <c r="AL1687" i="1"/>
  <c r="AL1686" i="1"/>
  <c r="AS1682" i="1"/>
  <c r="AQ1682" i="1"/>
  <c r="AR1682" i="1"/>
  <c r="AP1682" i="1"/>
  <c r="AO1682" i="1"/>
  <c r="AM1682" i="1"/>
  <c r="AL1682" i="1"/>
  <c r="AK1682" i="1"/>
  <c r="AJ1682" i="1"/>
  <c r="AI1682" i="1"/>
  <c r="AH1682" i="1"/>
  <c r="AG1682" i="1"/>
  <c r="AF1682" i="1"/>
  <c r="AE1682" i="1"/>
  <c r="AD1682" i="1"/>
  <c r="AC1682" i="1"/>
  <c r="AB1682" i="1"/>
  <c r="AA1682" i="1"/>
  <c r="Z1682" i="1"/>
  <c r="AS1681" i="1"/>
  <c r="AR1681" i="1"/>
  <c r="AQ1681" i="1"/>
  <c r="AP1681" i="1"/>
  <c r="AO1681" i="1"/>
  <c r="AN1681" i="1"/>
  <c r="AM1681" i="1"/>
  <c r="AL1681" i="1"/>
  <c r="AK1681" i="1"/>
  <c r="AJ1681" i="1"/>
  <c r="AI1681" i="1"/>
  <c r="AH1681" i="1"/>
  <c r="AG1681" i="1"/>
  <c r="AF1681" i="1"/>
  <c r="AE1681" i="1"/>
  <c r="AD1681" i="1"/>
  <c r="AC1681" i="1"/>
  <c r="AB1681" i="1"/>
  <c r="AA1681" i="1"/>
  <c r="Z1681" i="1"/>
  <c r="AR1674" i="1"/>
  <c r="AQ1674" i="1"/>
  <c r="AP1674" i="1"/>
  <c r="AO1674" i="1"/>
  <c r="AM1674" i="1"/>
  <c r="AL1674" i="1"/>
  <c r="AK1674" i="1"/>
  <c r="AJ1674" i="1"/>
  <c r="AI1674" i="1"/>
  <c r="AH1674" i="1"/>
  <c r="AG1674" i="1"/>
  <c r="AF1674" i="1"/>
  <c r="AE1674" i="1"/>
  <c r="AD1674" i="1"/>
  <c r="AC1674" i="1"/>
  <c r="AB1674" i="1"/>
  <c r="AA1674" i="1"/>
  <c r="Z1674" i="1"/>
  <c r="AR1673" i="1"/>
  <c r="AS1673" i="1"/>
  <c r="AQ1673" i="1"/>
  <c r="AP1673" i="1"/>
  <c r="AO1673" i="1"/>
  <c r="AN1673" i="1"/>
  <c r="AM1673" i="1"/>
  <c r="AL1673" i="1"/>
  <c r="AK1673" i="1"/>
  <c r="AJ1673" i="1"/>
  <c r="AI1673" i="1"/>
  <c r="AH1673" i="1"/>
  <c r="AG1673" i="1"/>
  <c r="AF1673" i="1"/>
  <c r="AE1673" i="1"/>
  <c r="AD1673" i="1"/>
  <c r="AC1673" i="1"/>
  <c r="AB1673" i="1"/>
  <c r="AA1673" i="1"/>
  <c r="Z1673" i="1"/>
  <c r="AS1658" i="1"/>
  <c r="AR1659" i="1"/>
  <c r="AR1658" i="1"/>
  <c r="AQ1659" i="1"/>
  <c r="AQ1658" i="1"/>
  <c r="AP1659" i="1"/>
  <c r="AP1658" i="1"/>
  <c r="AO1659" i="1"/>
  <c r="AO1658" i="1"/>
  <c r="AN1658" i="1"/>
  <c r="AM1658" i="1"/>
  <c r="AL1659" i="1"/>
  <c r="AL1658" i="1"/>
  <c r="AK1659" i="1"/>
  <c r="AJ1659" i="1"/>
  <c r="AJ1658" i="1"/>
  <c r="AI1659" i="1"/>
  <c r="AI1658" i="1"/>
  <c r="AH1659" i="1"/>
  <c r="AH1658" i="1"/>
  <c r="AG1659" i="1"/>
  <c r="AG1658" i="1"/>
  <c r="AF1659" i="1"/>
  <c r="AF1658" i="1"/>
  <c r="AE1659" i="1"/>
  <c r="AE1658" i="1"/>
  <c r="AD1659" i="1"/>
  <c r="AD1658" i="1"/>
  <c r="AC1658" i="1"/>
  <c r="AC1659" i="1"/>
  <c r="AB1659" i="1"/>
  <c r="AB1658" i="1"/>
  <c r="AA1659" i="1"/>
  <c r="AA1658" i="1"/>
  <c r="Z1659" i="1"/>
  <c r="Z1658" i="1"/>
  <c r="K1656" i="1"/>
  <c r="K1655" i="1"/>
  <c r="K1654" i="1"/>
  <c r="K1653" i="1"/>
  <c r="K1647" i="1"/>
  <c r="K1646" i="1"/>
  <c r="K1645" i="1"/>
  <c r="K1641" i="1"/>
  <c r="K1642" i="1"/>
  <c r="AS1642" i="1"/>
  <c r="AS1641" i="1"/>
  <c r="AR1642" i="1"/>
  <c r="AR1641" i="1"/>
  <c r="AQ1642" i="1"/>
  <c r="AQ1641" i="1"/>
  <c r="AP1642" i="1"/>
  <c r="AP1641" i="1"/>
  <c r="AO1642" i="1"/>
  <c r="AO1641" i="1"/>
  <c r="AN1642" i="1"/>
  <c r="AN1641" i="1"/>
  <c r="AM1642" i="1"/>
  <c r="AM1641" i="1"/>
  <c r="AL1641" i="1"/>
  <c r="AK1642" i="1"/>
  <c r="AK1641" i="1"/>
  <c r="AJ1642" i="1"/>
  <c r="AJ1641" i="1"/>
  <c r="AI1642" i="1"/>
  <c r="AI1641" i="1"/>
  <c r="AH1642" i="1"/>
  <c r="AH1641" i="1"/>
  <c r="AG1642" i="1"/>
  <c r="AG1641" i="1"/>
  <c r="AF1642" i="1"/>
  <c r="AF1641" i="1"/>
  <c r="AE1642" i="1"/>
  <c r="AE1641" i="1"/>
  <c r="AD1642" i="1"/>
  <c r="AD1641" i="1"/>
  <c r="AC1642" i="1"/>
  <c r="AC1641" i="1"/>
  <c r="AB1642" i="1"/>
  <c r="AB1641" i="1"/>
  <c r="AA1642" i="1"/>
  <c r="AA1641" i="1"/>
  <c r="Z1654" i="1"/>
  <c r="Z1653" i="1"/>
  <c r="Z1645" i="1"/>
  <c r="Z1642" i="1"/>
  <c r="Z1641" i="1"/>
  <c r="AS1686" i="1" l="1"/>
  <c r="AF1509" i="1"/>
  <c r="AG1509" i="1"/>
  <c r="AH1509" i="1"/>
  <c r="AI1509" i="1"/>
  <c r="AJ1509" i="1"/>
  <c r="AK1509" i="1"/>
  <c r="AL1509" i="1"/>
  <c r="AM1509" i="1"/>
  <c r="AN1509" i="1"/>
  <c r="AO1509" i="1"/>
  <c r="AP1509" i="1"/>
  <c r="AQ1509" i="1"/>
  <c r="AR1509" i="1"/>
  <c r="AS1509" i="1"/>
  <c r="AF1510" i="1"/>
  <c r="AG1510" i="1"/>
  <c r="AH1510" i="1"/>
  <c r="AI1510" i="1"/>
  <c r="AJ1510" i="1"/>
  <c r="AK1510" i="1"/>
  <c r="AL1510" i="1"/>
  <c r="AM1510" i="1"/>
  <c r="AN1510" i="1"/>
  <c r="AO1510" i="1"/>
  <c r="AP1510" i="1"/>
  <c r="AQ1510" i="1"/>
  <c r="AR1510" i="1"/>
  <c r="AS1510" i="1"/>
  <c r="AE1510" i="1"/>
  <c r="AE1509" i="1"/>
  <c r="AC1509" i="1"/>
  <c r="AD1509" i="1"/>
  <c r="AC1510" i="1"/>
  <c r="AD1510" i="1"/>
  <c r="AD1507" i="1"/>
  <c r="AD1508" i="1" s="1"/>
  <c r="AC1507" i="1"/>
  <c r="AB1507" i="1"/>
  <c r="AA1507" i="1"/>
  <c r="Z1507" i="1"/>
  <c r="AS1504" i="1"/>
  <c r="AR1504" i="1"/>
  <c r="AQ1504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AA1510" i="1" s="1"/>
  <c r="Z1504" i="1"/>
  <c r="AS1512" i="1"/>
  <c r="AS1505" i="1"/>
  <c r="AB1509" i="1"/>
  <c r="AA1509" i="1"/>
  <c r="AA1512" i="1" s="1"/>
  <c r="Z1509" i="1"/>
  <c r="Z1512" i="1" s="1"/>
  <c r="K1510" i="1"/>
  <c r="K1509" i="1"/>
  <c r="AK1501" i="1"/>
  <c r="AN1501" i="1"/>
  <c r="AQ1501" i="1"/>
  <c r="AS1501" i="1"/>
  <c r="AG1501" i="1"/>
  <c r="AC1501" i="1"/>
  <c r="K1501" i="1"/>
  <c r="AS1500" i="1"/>
  <c r="AL1500" i="1"/>
  <c r="AM1500" i="1"/>
  <c r="AN1500" i="1"/>
  <c r="AO1500" i="1"/>
  <c r="AP1500" i="1"/>
  <c r="AQ1500" i="1"/>
  <c r="AR1500" i="1"/>
  <c r="AK1500" i="1"/>
  <c r="AJ1500" i="1"/>
  <c r="AG1500" i="1"/>
  <c r="AH1500" i="1"/>
  <c r="AI1500" i="1"/>
  <c r="AF1500" i="1"/>
  <c r="AE1500" i="1"/>
  <c r="AD1500" i="1"/>
  <c r="AC1500" i="1"/>
  <c r="Z1500" i="1"/>
  <c r="AD1498" i="1"/>
  <c r="AC1498" i="1"/>
  <c r="AB1498" i="1"/>
  <c r="AA1498" i="1"/>
  <c r="Z1498" i="1"/>
  <c r="AR1495" i="1"/>
  <c r="AR1496" i="1" s="1"/>
  <c r="AS1495" i="1"/>
  <c r="AS1496" i="1" s="1"/>
  <c r="AQ1495" i="1"/>
  <c r="AQ1496" i="1" s="1"/>
  <c r="AP1495" i="1"/>
  <c r="AP1496" i="1" s="1"/>
  <c r="AO1495" i="1"/>
  <c r="AO1501" i="1" s="1"/>
  <c r="AN1495" i="1"/>
  <c r="AN1496" i="1" s="1"/>
  <c r="AM1495" i="1"/>
  <c r="AM1501" i="1" s="1"/>
  <c r="AL1495" i="1"/>
  <c r="AL1501" i="1" s="1"/>
  <c r="AK1495" i="1"/>
  <c r="AJ1495" i="1"/>
  <c r="AJ1501" i="1" s="1"/>
  <c r="AI1495" i="1"/>
  <c r="AI1501" i="1" s="1"/>
  <c r="AH1495" i="1"/>
  <c r="AG1495" i="1"/>
  <c r="AF1495" i="1"/>
  <c r="AE1495" i="1"/>
  <c r="AD1495" i="1"/>
  <c r="AC1495" i="1"/>
  <c r="AB1495" i="1"/>
  <c r="AA1495" i="1"/>
  <c r="Z1495" i="1"/>
  <c r="AO1496" i="1"/>
  <c r="AI1492" i="1"/>
  <c r="AH1492" i="1"/>
  <c r="AH1501" i="1" s="1"/>
  <c r="AG1492" i="1"/>
  <c r="AF1492" i="1"/>
  <c r="AF1501" i="1" s="1"/>
  <c r="AE1492" i="1"/>
  <c r="AE1501" i="1" s="1"/>
  <c r="AD1492" i="1"/>
  <c r="AD1501" i="1" s="1"/>
  <c r="AC1492" i="1"/>
  <c r="AB1492" i="1"/>
  <c r="AA1492" i="1"/>
  <c r="Z1492" i="1"/>
  <c r="Z1501" i="1" s="1"/>
  <c r="AB1500" i="1"/>
  <c r="AA1500" i="1"/>
  <c r="K1500" i="1"/>
  <c r="K1489" i="1"/>
  <c r="AS1488" i="1"/>
  <c r="AR1488" i="1"/>
  <c r="AQ1488" i="1"/>
  <c r="AP1488" i="1"/>
  <c r="AO1488" i="1"/>
  <c r="AS1483" i="1"/>
  <c r="AS1489" i="1" s="1"/>
  <c r="AR1483" i="1"/>
  <c r="AR1489" i="1" s="1"/>
  <c r="AQ1483" i="1"/>
  <c r="AQ1484" i="1" s="1"/>
  <c r="AP1483" i="1"/>
  <c r="AP1484" i="1" s="1"/>
  <c r="AO1483" i="1"/>
  <c r="AO1484" i="1" s="1"/>
  <c r="AN1483" i="1"/>
  <c r="AN1484" i="1" s="1"/>
  <c r="AM1483" i="1"/>
  <c r="AL1483" i="1"/>
  <c r="AK1483" i="1"/>
  <c r="AJ1483" i="1"/>
  <c r="AI1483" i="1"/>
  <c r="AH1483" i="1"/>
  <c r="AH1489" i="1" s="1"/>
  <c r="AG1483" i="1"/>
  <c r="AF1483" i="1"/>
  <c r="AE1483" i="1"/>
  <c r="AD1483" i="1"/>
  <c r="AC1483" i="1"/>
  <c r="AB1483" i="1"/>
  <c r="AA1483" i="1"/>
  <c r="AA1489" i="1" s="1"/>
  <c r="Z1483" i="1"/>
  <c r="Z1489" i="1" s="1"/>
  <c r="AN1480" i="1"/>
  <c r="AM1480" i="1"/>
  <c r="AL1480" i="1"/>
  <c r="AK1480" i="1"/>
  <c r="AJ1480" i="1"/>
  <c r="AH1480" i="1"/>
  <c r="AI1480" i="1"/>
  <c r="AI1489" i="1" s="1"/>
  <c r="AG1480" i="1"/>
  <c r="AG1489" i="1" s="1"/>
  <c r="AF1480" i="1"/>
  <c r="AE1480" i="1"/>
  <c r="AD1480" i="1"/>
  <c r="AC1480" i="1"/>
  <c r="AB1480" i="1"/>
  <c r="AA1480" i="1"/>
  <c r="Z1480" i="1"/>
  <c r="AR1484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K1487" i="1"/>
  <c r="K1482" i="1"/>
  <c r="K1484" i="1" s="1"/>
  <c r="K1479" i="1"/>
  <c r="K1481" i="1" s="1"/>
  <c r="T1476" i="1"/>
  <c r="T1475" i="1"/>
  <c r="T1473" i="1"/>
  <c r="K1473" i="1"/>
  <c r="AR1472" i="1"/>
  <c r="AQ1472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T1472" i="1"/>
  <c r="K1472" i="1"/>
  <c r="U1471" i="1"/>
  <c r="S1471" i="1"/>
  <c r="R1471" i="1"/>
  <c r="P1471" i="1"/>
  <c r="K1471" i="1"/>
  <c r="AC1470" i="1"/>
  <c r="AC1471" i="1" s="1"/>
  <c r="AB1470" i="1"/>
  <c r="AB1471" i="1" s="1"/>
  <c r="AA1470" i="1"/>
  <c r="AA1471" i="1" s="1"/>
  <c r="Z1470" i="1"/>
  <c r="Z1471" i="1" s="1"/>
  <c r="Y1470" i="1"/>
  <c r="Y1471" i="1" s="1"/>
  <c r="AE1468" i="1"/>
  <c r="U1468" i="1"/>
  <c r="S1468" i="1"/>
  <c r="R1468" i="1"/>
  <c r="P1468" i="1"/>
  <c r="K1468" i="1"/>
  <c r="AR1467" i="1"/>
  <c r="AR1468" i="1" s="1"/>
  <c r="AQ1467" i="1"/>
  <c r="AQ1468" i="1" s="1"/>
  <c r="AP1467" i="1"/>
  <c r="AP1468" i="1" s="1"/>
  <c r="AO1467" i="1"/>
  <c r="AO1468" i="1" s="1"/>
  <c r="AN1467" i="1"/>
  <c r="AN1468" i="1" s="1"/>
  <c r="AM1467" i="1"/>
  <c r="AM1468" i="1" s="1"/>
  <c r="AL1467" i="1"/>
  <c r="AL1468" i="1" s="1"/>
  <c r="AK1467" i="1"/>
  <c r="AK1468" i="1" s="1"/>
  <c r="AJ1467" i="1"/>
  <c r="AJ1468" i="1" s="1"/>
  <c r="AI1467" i="1"/>
  <c r="AI1468" i="1" s="1"/>
  <c r="AH1467" i="1"/>
  <c r="AH1468" i="1" s="1"/>
  <c r="AG1467" i="1"/>
  <c r="AG1468" i="1" s="1"/>
  <c r="AF1467" i="1"/>
  <c r="AF1468" i="1" s="1"/>
  <c r="AE1467" i="1"/>
  <c r="AD1467" i="1"/>
  <c r="AD1468" i="1" s="1"/>
  <c r="AC1467" i="1"/>
  <c r="AC1468" i="1" s="1"/>
  <c r="AB1467" i="1"/>
  <c r="AB1468" i="1" s="1"/>
  <c r="AA1467" i="1"/>
  <c r="AA1468" i="1" s="1"/>
  <c r="Z1467" i="1"/>
  <c r="Z1468" i="1" s="1"/>
  <c r="Y1467" i="1"/>
  <c r="Y1468" i="1" s="1"/>
  <c r="AC1465" i="1"/>
  <c r="U1465" i="1"/>
  <c r="S1465" i="1"/>
  <c r="R1465" i="1"/>
  <c r="P1465" i="1"/>
  <c r="K1465" i="1"/>
  <c r="AC1464" i="1"/>
  <c r="AB1464" i="1"/>
  <c r="AB1465" i="1" s="1"/>
  <c r="AA1464" i="1"/>
  <c r="AA1465" i="1" s="1"/>
  <c r="Z1464" i="1"/>
  <c r="Z1465" i="1" s="1"/>
  <c r="Y1464" i="1"/>
  <c r="Y1465" i="1" s="1"/>
  <c r="AL1462" i="1"/>
  <c r="AD1462" i="1"/>
  <c r="U1462" i="1"/>
  <c r="S1462" i="1"/>
  <c r="R1462" i="1"/>
  <c r="P1462" i="1"/>
  <c r="K1462" i="1"/>
  <c r="AR1461" i="1"/>
  <c r="AR1473" i="1" s="1"/>
  <c r="AR1474" i="1" s="1"/>
  <c r="AQ1461" i="1"/>
  <c r="AQ1462" i="1" s="1"/>
  <c r="AP1461" i="1"/>
  <c r="AP1462" i="1" s="1"/>
  <c r="AO1461" i="1"/>
  <c r="AO1462" i="1" s="1"/>
  <c r="AN1461" i="1"/>
  <c r="AN1462" i="1" s="1"/>
  <c r="AM1461" i="1"/>
  <c r="AM1462" i="1" s="1"/>
  <c r="AL1461" i="1"/>
  <c r="AK1461" i="1"/>
  <c r="AK1462" i="1" s="1"/>
  <c r="AJ1461" i="1"/>
  <c r="AJ1473" i="1" s="1"/>
  <c r="AJ1474" i="1" s="1"/>
  <c r="AI1461" i="1"/>
  <c r="AI1462" i="1" s="1"/>
  <c r="AH1461" i="1"/>
  <c r="AH1462" i="1" s="1"/>
  <c r="AG1461" i="1"/>
  <c r="AG1462" i="1" s="1"/>
  <c r="AF1461" i="1"/>
  <c r="AF1462" i="1" s="1"/>
  <c r="AE1461" i="1"/>
  <c r="AE1462" i="1" s="1"/>
  <c r="AD1461" i="1"/>
  <c r="AC1461" i="1"/>
  <c r="AC1462" i="1" s="1"/>
  <c r="AB1461" i="1"/>
  <c r="AB1473" i="1" s="1"/>
  <c r="AB1474" i="1" s="1"/>
  <c r="AA1461" i="1"/>
  <c r="AA1462" i="1" s="1"/>
  <c r="Z1461" i="1"/>
  <c r="Z1462" i="1" s="1"/>
  <c r="Y1461" i="1"/>
  <c r="Y1462" i="1" s="1"/>
  <c r="U1458" i="1"/>
  <c r="T1458" i="1"/>
  <c r="T1459" i="1" s="1"/>
  <c r="K1458" i="1"/>
  <c r="AR1457" i="1"/>
  <c r="AQ1457" i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U1457" i="1"/>
  <c r="T1457" i="1"/>
  <c r="K1457" i="1"/>
  <c r="U1456" i="1"/>
  <c r="S1456" i="1"/>
  <c r="R1456" i="1"/>
  <c r="Q1456" i="1"/>
  <c r="K1456" i="1"/>
  <c r="AR1455" i="1"/>
  <c r="AR1456" i="1" s="1"/>
  <c r="AQ1455" i="1"/>
  <c r="AQ1456" i="1" s="1"/>
  <c r="AP1455" i="1"/>
  <c r="AP1456" i="1" s="1"/>
  <c r="AO1455" i="1"/>
  <c r="AO1456" i="1" s="1"/>
  <c r="AN1455" i="1"/>
  <c r="AN1456" i="1" s="1"/>
  <c r="AM1455" i="1"/>
  <c r="AM1456" i="1" s="1"/>
  <c r="AL1455" i="1"/>
  <c r="AL1456" i="1" s="1"/>
  <c r="AK1455" i="1"/>
  <c r="AK1456" i="1" s="1"/>
  <c r="AJ1455" i="1"/>
  <c r="AJ1456" i="1" s="1"/>
  <c r="AI1455" i="1"/>
  <c r="AI1456" i="1" s="1"/>
  <c r="AH1455" i="1"/>
  <c r="AH1456" i="1" s="1"/>
  <c r="AG1455" i="1"/>
  <c r="AG1456" i="1" s="1"/>
  <c r="AF1455" i="1"/>
  <c r="AF1456" i="1" s="1"/>
  <c r="AE1455" i="1"/>
  <c r="AE1456" i="1" s="1"/>
  <c r="AD1455" i="1"/>
  <c r="AD1456" i="1" s="1"/>
  <c r="AC1455" i="1"/>
  <c r="AC1456" i="1" s="1"/>
  <c r="AB1455" i="1"/>
  <c r="AB1456" i="1" s="1"/>
  <c r="AA1455" i="1"/>
  <c r="AA1456" i="1" s="1"/>
  <c r="Z1455" i="1"/>
  <c r="Z1456" i="1" s="1"/>
  <c r="Y1455" i="1"/>
  <c r="Y1456" i="1" s="1"/>
  <c r="U1453" i="1"/>
  <c r="S1453" i="1"/>
  <c r="R1453" i="1"/>
  <c r="Q1453" i="1"/>
  <c r="K1453" i="1"/>
  <c r="AC1452" i="1"/>
  <c r="AC1453" i="1" s="1"/>
  <c r="AB1452" i="1"/>
  <c r="AB1453" i="1" s="1"/>
  <c r="AA1452" i="1"/>
  <c r="AA1453" i="1" s="1"/>
  <c r="Z1452" i="1"/>
  <c r="Z1453" i="1" s="1"/>
  <c r="Y1452" i="1"/>
  <c r="Y1453" i="1" s="1"/>
  <c r="AH1450" i="1"/>
  <c r="AB1450" i="1"/>
  <c r="U1450" i="1"/>
  <c r="S1450" i="1"/>
  <c r="R1450" i="1"/>
  <c r="Q1450" i="1"/>
  <c r="K1450" i="1"/>
  <c r="AR1449" i="1"/>
  <c r="AR1450" i="1" s="1"/>
  <c r="AQ1449" i="1"/>
  <c r="AQ1450" i="1" s="1"/>
  <c r="AP1449" i="1"/>
  <c r="AP1450" i="1" s="1"/>
  <c r="AO1449" i="1"/>
  <c r="AO1450" i="1" s="1"/>
  <c r="AN1449" i="1"/>
  <c r="AN1450" i="1" s="1"/>
  <c r="AM1449" i="1"/>
  <c r="AM1450" i="1" s="1"/>
  <c r="AL1449" i="1"/>
  <c r="AL1450" i="1" s="1"/>
  <c r="AK1449" i="1"/>
  <c r="AK1450" i="1" s="1"/>
  <c r="AJ1449" i="1"/>
  <c r="AJ1450" i="1" s="1"/>
  <c r="AI1449" i="1"/>
  <c r="AI1450" i="1" s="1"/>
  <c r="AH1449" i="1"/>
  <c r="AG1449" i="1"/>
  <c r="AG1450" i="1" s="1"/>
  <c r="AF1449" i="1"/>
  <c r="AF1450" i="1" s="1"/>
  <c r="AE1449" i="1"/>
  <c r="AE1450" i="1" s="1"/>
  <c r="AD1449" i="1"/>
  <c r="AD1450" i="1" s="1"/>
  <c r="AC1449" i="1"/>
  <c r="AC1450" i="1" s="1"/>
  <c r="AB1449" i="1"/>
  <c r="AA1449" i="1"/>
  <c r="AA1450" i="1" s="1"/>
  <c r="Z1449" i="1"/>
  <c r="Z1450" i="1" s="1"/>
  <c r="Y1449" i="1"/>
  <c r="Y1450" i="1" s="1"/>
  <c r="AJ1447" i="1"/>
  <c r="U1447" i="1"/>
  <c r="S1447" i="1"/>
  <c r="R1447" i="1"/>
  <c r="Q1447" i="1"/>
  <c r="K1447" i="1"/>
  <c r="AM1446" i="1"/>
  <c r="AM1447" i="1" s="1"/>
  <c r="AL1446" i="1"/>
  <c r="AL1447" i="1" s="1"/>
  <c r="AK1446" i="1"/>
  <c r="AK1447" i="1" s="1"/>
  <c r="AJ1446" i="1"/>
  <c r="AI1446" i="1"/>
  <c r="AI1447" i="1" s="1"/>
  <c r="AH1446" i="1"/>
  <c r="AH1447" i="1" s="1"/>
  <c r="AG1446" i="1"/>
  <c r="AG1447" i="1" s="1"/>
  <c r="AF1446" i="1"/>
  <c r="AF1447" i="1" s="1"/>
  <c r="AE1446" i="1"/>
  <c r="AE1447" i="1" s="1"/>
  <c r="AD1446" i="1"/>
  <c r="AD1447" i="1" s="1"/>
  <c r="AC1446" i="1"/>
  <c r="AC1447" i="1" s="1"/>
  <c r="AB1446" i="1"/>
  <c r="AB1447" i="1" s="1"/>
  <c r="AA1446" i="1"/>
  <c r="AA1447" i="1" s="1"/>
  <c r="Z1446" i="1"/>
  <c r="Z1447" i="1" s="1"/>
  <c r="Y1446" i="1"/>
  <c r="Y1447" i="1" s="1"/>
  <c r="AP1444" i="1"/>
  <c r="U1444" i="1"/>
  <c r="S1444" i="1"/>
  <c r="R1444" i="1"/>
  <c r="Q1444" i="1"/>
  <c r="K1444" i="1"/>
  <c r="AR1443" i="1"/>
  <c r="AR1444" i="1" s="1"/>
  <c r="AQ1443" i="1"/>
  <c r="AP1443" i="1"/>
  <c r="AP1458" i="1" s="1"/>
  <c r="AP1459" i="1" s="1"/>
  <c r="AO1443" i="1"/>
  <c r="AN1443" i="1"/>
  <c r="AN1444" i="1" s="1"/>
  <c r="AM1443" i="1"/>
  <c r="AL1443" i="1"/>
  <c r="AK1443" i="1"/>
  <c r="AJ1443" i="1"/>
  <c r="AI1443" i="1"/>
  <c r="AH1443" i="1"/>
  <c r="AG1443" i="1"/>
  <c r="AF1443" i="1"/>
  <c r="AF1444" i="1" s="1"/>
  <c r="AE1443" i="1"/>
  <c r="AD1443" i="1"/>
  <c r="AC1443" i="1"/>
  <c r="AB1443" i="1"/>
  <c r="AA1443" i="1"/>
  <c r="Z1443" i="1"/>
  <c r="Y1443" i="1"/>
  <c r="Y1444" i="1" s="1"/>
  <c r="T1440" i="1"/>
  <c r="K1440" i="1"/>
  <c r="AR1439" i="1"/>
  <c r="AR1475" i="1" s="1"/>
  <c r="AQ1439" i="1"/>
  <c r="AP1439" i="1"/>
  <c r="AO1439" i="1"/>
  <c r="AO1475" i="1" s="1"/>
  <c r="AN1439" i="1"/>
  <c r="AM1439" i="1"/>
  <c r="AM1475" i="1" s="1"/>
  <c r="AL1439" i="1"/>
  <c r="AK1439" i="1"/>
  <c r="AJ1439" i="1"/>
  <c r="AJ1475" i="1" s="1"/>
  <c r="AI1439" i="1"/>
  <c r="AH1439" i="1"/>
  <c r="AG1439" i="1"/>
  <c r="AG1475" i="1" s="1"/>
  <c r="AF1439" i="1"/>
  <c r="AE1439" i="1"/>
  <c r="AE1475" i="1" s="1"/>
  <c r="AD1439" i="1"/>
  <c r="AC1439" i="1"/>
  <c r="AB1439" i="1"/>
  <c r="AB1475" i="1" s="1"/>
  <c r="AA1439" i="1"/>
  <c r="Z1439" i="1"/>
  <c r="Y1439" i="1"/>
  <c r="Y1475" i="1" s="1"/>
  <c r="T1439" i="1"/>
  <c r="K1439" i="1"/>
  <c r="AN1438" i="1"/>
  <c r="AG1438" i="1"/>
  <c r="U1438" i="1"/>
  <c r="S1438" i="1"/>
  <c r="R1438" i="1"/>
  <c r="P1438" i="1"/>
  <c r="K1438" i="1"/>
  <c r="AR1437" i="1"/>
  <c r="AR1438" i="1" s="1"/>
  <c r="AQ1437" i="1"/>
  <c r="AQ1438" i="1" s="1"/>
  <c r="AP1437" i="1"/>
  <c r="AP1438" i="1" s="1"/>
  <c r="AO1437" i="1"/>
  <c r="AO1438" i="1" s="1"/>
  <c r="AN1437" i="1"/>
  <c r="AM1437" i="1"/>
  <c r="AM1438" i="1" s="1"/>
  <c r="AL1437" i="1"/>
  <c r="AL1438" i="1" s="1"/>
  <c r="AK1437" i="1"/>
  <c r="AK1438" i="1" s="1"/>
  <c r="AJ1437" i="1"/>
  <c r="AJ1438" i="1" s="1"/>
  <c r="AI1437" i="1"/>
  <c r="AI1438" i="1" s="1"/>
  <c r="AH1437" i="1"/>
  <c r="AH1438" i="1" s="1"/>
  <c r="AG1437" i="1"/>
  <c r="AF1437" i="1"/>
  <c r="AF1438" i="1" s="1"/>
  <c r="AE1437" i="1"/>
  <c r="AE1438" i="1" s="1"/>
  <c r="AD1437" i="1"/>
  <c r="AD1438" i="1" s="1"/>
  <c r="AC1437" i="1"/>
  <c r="AC1438" i="1" s="1"/>
  <c r="AB1437" i="1"/>
  <c r="AB1438" i="1" s="1"/>
  <c r="AA1437" i="1"/>
  <c r="AA1438" i="1" s="1"/>
  <c r="Z1437" i="1"/>
  <c r="Z1438" i="1" s="1"/>
  <c r="Y1437" i="1"/>
  <c r="Y1438" i="1" s="1"/>
  <c r="U1435" i="1"/>
  <c r="S1435" i="1"/>
  <c r="R1435" i="1"/>
  <c r="P1435" i="1"/>
  <c r="K1435" i="1"/>
  <c r="AM1434" i="1"/>
  <c r="AM1435" i="1" s="1"/>
  <c r="AL1434" i="1"/>
  <c r="AL1435" i="1" s="1"/>
  <c r="AK1434" i="1"/>
  <c r="AK1435" i="1" s="1"/>
  <c r="AJ1434" i="1"/>
  <c r="AJ1435" i="1" s="1"/>
  <c r="AI1434" i="1"/>
  <c r="AI1435" i="1" s="1"/>
  <c r="AH1434" i="1"/>
  <c r="AH1435" i="1" s="1"/>
  <c r="AG1434" i="1"/>
  <c r="AG1435" i="1" s="1"/>
  <c r="AF1434" i="1"/>
  <c r="AF1435" i="1" s="1"/>
  <c r="AE1434" i="1"/>
  <c r="AE1435" i="1" s="1"/>
  <c r="AD1434" i="1"/>
  <c r="AD1435" i="1" s="1"/>
  <c r="AC1434" i="1"/>
  <c r="AB1434" i="1"/>
  <c r="AB1435" i="1" s="1"/>
  <c r="AA1434" i="1"/>
  <c r="AA1435" i="1" s="1"/>
  <c r="Z1434" i="1"/>
  <c r="Z1435" i="1" s="1"/>
  <c r="Y1434" i="1"/>
  <c r="Y1435" i="1" s="1"/>
  <c r="AN1432" i="1"/>
  <c r="U1432" i="1"/>
  <c r="S1432" i="1"/>
  <c r="R1432" i="1"/>
  <c r="P1432" i="1"/>
  <c r="K1432" i="1"/>
  <c r="AR1431" i="1"/>
  <c r="AQ1431" i="1"/>
  <c r="AQ1440" i="1" s="1"/>
  <c r="AP1431" i="1"/>
  <c r="AO1431" i="1"/>
  <c r="AN1431" i="1"/>
  <c r="AN1440" i="1" s="1"/>
  <c r="AM1431" i="1"/>
  <c r="AM1432" i="1" s="1"/>
  <c r="AL1431" i="1"/>
  <c r="AK1431" i="1"/>
  <c r="AK1432" i="1" s="1"/>
  <c r="AJ1431" i="1"/>
  <c r="AI1431" i="1"/>
  <c r="AH1431" i="1"/>
  <c r="AG1431" i="1"/>
  <c r="AF1431" i="1"/>
  <c r="AF1432" i="1" s="1"/>
  <c r="AE1431" i="1"/>
  <c r="AE1432" i="1" s="1"/>
  <c r="AD1431" i="1"/>
  <c r="AD1432" i="1" s="1"/>
  <c r="AC1431" i="1"/>
  <c r="AC1432" i="1" s="1"/>
  <c r="AB1431" i="1"/>
  <c r="AA1431" i="1"/>
  <c r="Z1431" i="1"/>
  <c r="Y1431" i="1"/>
  <c r="AB1510" i="1" l="1"/>
  <c r="Z1510" i="1"/>
  <c r="AS1511" i="1"/>
  <c r="AS1513" i="1"/>
  <c r="AS1514" i="1" s="1"/>
  <c r="AF1489" i="1"/>
  <c r="AN1489" i="1"/>
  <c r="AR1501" i="1"/>
  <c r="AE1489" i="1"/>
  <c r="AO1440" i="1"/>
  <c r="K1475" i="1"/>
  <c r="AG1458" i="1"/>
  <c r="AG1459" i="1" s="1"/>
  <c r="AO1458" i="1"/>
  <c r="AO1459" i="1" s="1"/>
  <c r="AP1501" i="1"/>
  <c r="AM1489" i="1"/>
  <c r="Y1440" i="1"/>
  <c r="Y1441" i="1" s="1"/>
  <c r="AG1440" i="1"/>
  <c r="Z1440" i="1"/>
  <c r="AH1440" i="1"/>
  <c r="AP1440" i="1"/>
  <c r="AP1441" i="1" s="1"/>
  <c r="AF1475" i="1"/>
  <c r="AN1475" i="1"/>
  <c r="AH1458" i="1"/>
  <c r="AH1459" i="1" s="1"/>
  <c r="AO1444" i="1"/>
  <c r="K1474" i="1"/>
  <c r="AA1440" i="1"/>
  <c r="AB1489" i="1"/>
  <c r="AJ1489" i="1"/>
  <c r="AC1489" i="1"/>
  <c r="AK1489" i="1"/>
  <c r="AI1440" i="1"/>
  <c r="AI1441" i="1" s="1"/>
  <c r="K1459" i="1"/>
  <c r="AD1473" i="1"/>
  <c r="AD1474" i="1" s="1"/>
  <c r="AL1473" i="1"/>
  <c r="AL1474" i="1" s="1"/>
  <c r="T1477" i="1"/>
  <c r="AD1489" i="1"/>
  <c r="AL1489" i="1"/>
  <c r="AS1502" i="1"/>
  <c r="AB1501" i="1"/>
  <c r="AA1501" i="1"/>
  <c r="Z1458" i="1"/>
  <c r="Z1459" i="1" s="1"/>
  <c r="U1459" i="1"/>
  <c r="AJ1462" i="1"/>
  <c r="Y1458" i="1"/>
  <c r="Y1459" i="1" s="1"/>
  <c r="AQ1432" i="1"/>
  <c r="Z1475" i="1"/>
  <c r="AP1475" i="1"/>
  <c r="AI1458" i="1"/>
  <c r="AI1459" i="1" s="1"/>
  <c r="Z1444" i="1"/>
  <c r="AF1458" i="1"/>
  <c r="AF1459" i="1" s="1"/>
  <c r="AO1489" i="1"/>
  <c r="Y1432" i="1"/>
  <c r="AB1440" i="1"/>
  <c r="AH1475" i="1"/>
  <c r="AA1458" i="1"/>
  <c r="AA1459" i="1" s="1"/>
  <c r="AQ1458" i="1"/>
  <c r="AQ1459" i="1" s="1"/>
  <c r="AA1475" i="1"/>
  <c r="AI1475" i="1"/>
  <c r="AQ1475" i="1"/>
  <c r="AB1458" i="1"/>
  <c r="AB1459" i="1" s="1"/>
  <c r="AJ1458" i="1"/>
  <c r="AJ1459" i="1" s="1"/>
  <c r="AR1458" i="1"/>
  <c r="AR1459" i="1" s="1"/>
  <c r="AB1444" i="1"/>
  <c r="AN1458" i="1"/>
  <c r="AN1459" i="1" s="1"/>
  <c r="T1474" i="1"/>
  <c r="AS1484" i="1"/>
  <c r="AP1489" i="1"/>
  <c r="AA1432" i="1"/>
  <c r="AR1440" i="1"/>
  <c r="AD1440" i="1"/>
  <c r="AG1432" i="1"/>
  <c r="AK1458" i="1"/>
  <c r="AK1459" i="1" s="1"/>
  <c r="AG1444" i="1"/>
  <c r="AR1462" i="1"/>
  <c r="AQ1489" i="1"/>
  <c r="K1441" i="1"/>
  <c r="AI1432" i="1"/>
  <c r="AC1475" i="1"/>
  <c r="AK1475" i="1"/>
  <c r="K1476" i="1"/>
  <c r="K1477" i="1" s="1"/>
  <c r="AD1458" i="1"/>
  <c r="AD1459" i="1" s="1"/>
  <c r="AL1458" i="1"/>
  <c r="AL1459" i="1" s="1"/>
  <c r="AH1444" i="1"/>
  <c r="AO1432" i="1"/>
  <c r="AJ1440" i="1"/>
  <c r="AL1440" i="1"/>
  <c r="AL1441" i="1" s="1"/>
  <c r="AC1458" i="1"/>
  <c r="AC1459" i="1" s="1"/>
  <c r="AF1440" i="1"/>
  <c r="AF1441" i="1" s="1"/>
  <c r="AL1432" i="1"/>
  <c r="AC1440" i="1"/>
  <c r="AC1441" i="1" s="1"/>
  <c r="AD1475" i="1"/>
  <c r="AL1475" i="1"/>
  <c r="T1441" i="1"/>
  <c r="AE1458" i="1"/>
  <c r="AE1459" i="1" s="1"/>
  <c r="AM1458" i="1"/>
  <c r="AM1459" i="1" s="1"/>
  <c r="AJ1444" i="1"/>
  <c r="AA1473" i="1"/>
  <c r="AA1474" i="1" s="1"/>
  <c r="AI1473" i="1"/>
  <c r="AI1474" i="1" s="1"/>
  <c r="AQ1473" i="1"/>
  <c r="AQ1474" i="1" s="1"/>
  <c r="AB1462" i="1"/>
  <c r="AS1490" i="1"/>
  <c r="K1488" i="1"/>
  <c r="AG1441" i="1"/>
  <c r="AO1476" i="1"/>
  <c r="AO1477" i="1" s="1"/>
  <c r="AO1441" i="1"/>
  <c r="Z1441" i="1"/>
  <c r="AH1441" i="1"/>
  <c r="AA1441" i="1"/>
  <c r="AB1441" i="1"/>
  <c r="AB1476" i="1"/>
  <c r="AB1477" i="1" s="1"/>
  <c r="AJ1441" i="1"/>
  <c r="AJ1476" i="1"/>
  <c r="AJ1477" i="1" s="1"/>
  <c r="AN1441" i="1"/>
  <c r="AR1441" i="1"/>
  <c r="AR1476" i="1"/>
  <c r="AR1477" i="1" s="1"/>
  <c r="AD1441" i="1"/>
  <c r="AQ1441" i="1"/>
  <c r="AC1473" i="1"/>
  <c r="AC1474" i="1" s="1"/>
  <c r="AK1473" i="1"/>
  <c r="AK1474" i="1" s="1"/>
  <c r="AK1440" i="1"/>
  <c r="Z1432" i="1"/>
  <c r="AH1432" i="1"/>
  <c r="AP1432" i="1"/>
  <c r="AA1444" i="1"/>
  <c r="AI1444" i="1"/>
  <c r="AQ1444" i="1"/>
  <c r="AE1440" i="1"/>
  <c r="AM1440" i="1"/>
  <c r="AE1473" i="1"/>
  <c r="AE1474" i="1" s="1"/>
  <c r="AM1473" i="1"/>
  <c r="AM1474" i="1" s="1"/>
  <c r="AJ1432" i="1"/>
  <c r="AR1432" i="1"/>
  <c r="AC1444" i="1"/>
  <c r="AK1444" i="1"/>
  <c r="AF1473" i="1"/>
  <c r="AF1474" i="1" s="1"/>
  <c r="AN1473" i="1"/>
  <c r="AN1474" i="1" s="1"/>
  <c r="AB1432" i="1"/>
  <c r="AC1435" i="1"/>
  <c r="AD1444" i="1"/>
  <c r="AL1444" i="1"/>
  <c r="Y1473" i="1"/>
  <c r="Y1474" i="1" s="1"/>
  <c r="AG1473" i="1"/>
  <c r="AG1474" i="1" s="1"/>
  <c r="AO1473" i="1"/>
  <c r="AO1474" i="1" s="1"/>
  <c r="AE1444" i="1"/>
  <c r="AM1444" i="1"/>
  <c r="Z1473" i="1"/>
  <c r="Z1474" i="1" s="1"/>
  <c r="AH1473" i="1"/>
  <c r="AH1474" i="1" s="1"/>
  <c r="AP1473" i="1"/>
  <c r="AP1474" i="1" s="1"/>
  <c r="AN1476" i="1" l="1"/>
  <c r="AN1477" i="1" s="1"/>
  <c r="AL1476" i="1"/>
  <c r="AL1477" i="1" s="1"/>
  <c r="AP1476" i="1"/>
  <c r="AP1477" i="1" s="1"/>
  <c r="AC1476" i="1"/>
  <c r="AC1477" i="1" s="1"/>
  <c r="AD1476" i="1"/>
  <c r="AD1477" i="1" s="1"/>
  <c r="AQ1476" i="1"/>
  <c r="AQ1477" i="1" s="1"/>
  <c r="AI1476" i="1"/>
  <c r="AI1477" i="1" s="1"/>
  <c r="AA1476" i="1"/>
  <c r="AA1477" i="1" s="1"/>
  <c r="AK1441" i="1"/>
  <c r="AK1476" i="1"/>
  <c r="AK1477" i="1" s="1"/>
  <c r="AH1476" i="1"/>
  <c r="AH1477" i="1" s="1"/>
  <c r="Z1476" i="1"/>
  <c r="Z1477" i="1" s="1"/>
  <c r="AM1476" i="1"/>
  <c r="AM1477" i="1" s="1"/>
  <c r="AM1441" i="1"/>
  <c r="AE1476" i="1"/>
  <c r="AE1477" i="1" s="1"/>
  <c r="AE1441" i="1"/>
  <c r="AG1476" i="1"/>
  <c r="AG1477" i="1" s="1"/>
  <c r="Y1476" i="1"/>
  <c r="Y1477" i="1" s="1"/>
  <c r="AF1476" i="1"/>
  <c r="AF1477" i="1" s="1"/>
  <c r="AS1728" i="1" l="1"/>
  <c r="AO1728" i="1"/>
  <c r="AP1728" i="1"/>
  <c r="AQ1728" i="1"/>
  <c r="AR1728" i="1"/>
  <c r="AO1729" i="1"/>
  <c r="AP1729" i="1"/>
  <c r="AQ1729" i="1"/>
  <c r="AR1729" i="1"/>
  <c r="AS1729" i="1"/>
  <c r="AI1728" i="1"/>
  <c r="AJ1728" i="1"/>
  <c r="AK1728" i="1"/>
  <c r="AL1728" i="1"/>
  <c r="AM1728" i="1"/>
  <c r="AN1728" i="1"/>
  <c r="AI1729" i="1"/>
  <c r="AJ1729" i="1"/>
  <c r="AK1729" i="1"/>
  <c r="AL1729" i="1"/>
  <c r="AM1729" i="1"/>
  <c r="AN1729" i="1"/>
  <c r="AE1728" i="1"/>
  <c r="AF1728" i="1"/>
  <c r="AG1728" i="1"/>
  <c r="AH1728" i="1"/>
  <c r="AE1729" i="1"/>
  <c r="AF1729" i="1"/>
  <c r="AG1729" i="1"/>
  <c r="AH1729" i="1"/>
  <c r="AB1728" i="1"/>
  <c r="AC1728" i="1"/>
  <c r="AD1728" i="1"/>
  <c r="AB1729" i="1"/>
  <c r="AC1729" i="1"/>
  <c r="AD1729" i="1"/>
  <c r="AA1728" i="1"/>
  <c r="AA1729" i="1"/>
  <c r="Z1728" i="1"/>
  <c r="AS1645" i="1"/>
  <c r="AR1645" i="1"/>
  <c r="AQ1645" i="1"/>
  <c r="AQ1646" i="1"/>
  <c r="AN1645" i="1"/>
  <c r="AO1645" i="1"/>
  <c r="AP1645" i="1"/>
  <c r="AM1645" i="1"/>
  <c r="AL1645" i="1"/>
  <c r="AK1645" i="1"/>
  <c r="AJ1645" i="1"/>
  <c r="AH1645" i="1"/>
  <c r="AI1645" i="1"/>
  <c r="AF1645" i="1"/>
  <c r="AE1645" i="1"/>
  <c r="AE1646" i="1"/>
  <c r="AD1645" i="1"/>
  <c r="AC1645" i="1"/>
  <c r="AB1645" i="1"/>
  <c r="AA1645" i="1" l="1"/>
  <c r="AS1637" i="1"/>
  <c r="AS1638" i="1" s="1"/>
  <c r="AR1637" i="1"/>
  <c r="AQ1637" i="1"/>
  <c r="AP1637" i="1"/>
  <c r="AP1638" i="1" s="1"/>
  <c r="AO1637" i="1"/>
  <c r="AN1637" i="1"/>
  <c r="AN1683" i="1" s="1"/>
  <c r="AM1637" i="1"/>
  <c r="AL1637" i="1"/>
  <c r="AL1638" i="1" s="1"/>
  <c r="AK1637" i="1"/>
  <c r="AK1638" i="1" s="1"/>
  <c r="AJ1637" i="1"/>
  <c r="AI1637" i="1"/>
  <c r="AI1683" i="1" s="1"/>
  <c r="AH1637" i="1"/>
  <c r="AH1638" i="1" s="1"/>
  <c r="AG1637" i="1"/>
  <c r="AF1637" i="1"/>
  <c r="AF1638" i="1" s="1"/>
  <c r="AE1637" i="1"/>
  <c r="AD1637" i="1"/>
  <c r="AC1637" i="1"/>
  <c r="AB1637" i="1"/>
  <c r="AA1637" i="1"/>
  <c r="Z1637" i="1"/>
  <c r="K1638" i="1"/>
  <c r="AR1638" i="1"/>
  <c r="M1633" i="1"/>
  <c r="L1633" i="1"/>
  <c r="K1633" i="1"/>
  <c r="AR1632" i="1"/>
  <c r="AQ1632" i="1"/>
  <c r="AP1632" i="1"/>
  <c r="AO1632" i="1"/>
  <c r="AN1632" i="1"/>
  <c r="AM1632" i="1"/>
  <c r="AL1632" i="1"/>
  <c r="AK1632" i="1"/>
  <c r="AJ1632" i="1"/>
  <c r="AI1632" i="1"/>
  <c r="AI1633" i="1" s="1"/>
  <c r="AH1632" i="1"/>
  <c r="AG1632" i="1"/>
  <c r="AF1632" i="1"/>
  <c r="AF1633" i="1" s="1"/>
  <c r="AE1632" i="1"/>
  <c r="AE1633" i="1" s="1"/>
  <c r="AD1632" i="1"/>
  <c r="AC1632" i="1"/>
  <c r="AB1632" i="1"/>
  <c r="AA1632" i="1"/>
  <c r="Z1632" i="1"/>
  <c r="Y1632" i="1"/>
  <c r="Y1633" i="1" s="1"/>
  <c r="U1632" i="1"/>
  <c r="U1633" i="1" s="1"/>
  <c r="T1632" i="1"/>
  <c r="T1633" i="1" s="1"/>
  <c r="S1632" i="1"/>
  <c r="S1633" i="1" s="1"/>
  <c r="R1632" i="1"/>
  <c r="R1633" i="1" s="1"/>
  <c r="Q1632" i="1"/>
  <c r="Q1633" i="1" s="1"/>
  <c r="P1632" i="1"/>
  <c r="P1633" i="1" s="1"/>
  <c r="O1632" i="1"/>
  <c r="O1633" i="1" s="1"/>
  <c r="N1632" i="1"/>
  <c r="N1633" i="1" s="1"/>
  <c r="AA1730" i="1" l="1"/>
  <c r="AA1731" i="1" s="1"/>
  <c r="AE1683" i="1"/>
  <c r="AQ1683" i="1"/>
  <c r="AI1638" i="1"/>
  <c r="AL1683" i="1"/>
  <c r="AM1683" i="1"/>
  <c r="AM1638" i="1"/>
  <c r="AG1730" i="1"/>
  <c r="AO1633" i="1"/>
  <c r="AO1730" i="1"/>
  <c r="AG1683" i="1"/>
  <c r="AH1633" i="1"/>
  <c r="AH1730" i="1"/>
  <c r="AQ1638" i="1"/>
  <c r="AC1683" i="1"/>
  <c r="AG1638" i="1"/>
  <c r="AR1683" i="1"/>
  <c r="AJ1730" i="1"/>
  <c r="AB1638" i="1"/>
  <c r="AB1683" i="1"/>
  <c r="Z1633" i="1"/>
  <c r="Z1730" i="1"/>
  <c r="AP1633" i="1"/>
  <c r="AP1730" i="1"/>
  <c r="AI1730" i="1"/>
  <c r="AQ1730" i="1"/>
  <c r="AG1633" i="1"/>
  <c r="AC1638" i="1"/>
  <c r="AH1683" i="1"/>
  <c r="AS1683" i="1"/>
  <c r="AS1684" i="1" s="1"/>
  <c r="AS1730" i="1"/>
  <c r="AS1731" i="1" s="1"/>
  <c r="AB1730" i="1"/>
  <c r="AR1730" i="1"/>
  <c r="AD1638" i="1"/>
  <c r="AD1683" i="1"/>
  <c r="AC1730" i="1"/>
  <c r="AJ1633" i="1"/>
  <c r="AD1633" i="1"/>
  <c r="AD1730" i="1"/>
  <c r="AL1633" i="1"/>
  <c r="AL1730" i="1"/>
  <c r="AJ1683" i="1"/>
  <c r="AN1638" i="1"/>
  <c r="AE1730" i="1"/>
  <c r="AM1633" i="1"/>
  <c r="AM1730" i="1"/>
  <c r="AB1633" i="1"/>
  <c r="AQ1633" i="1"/>
  <c r="Z1683" i="1"/>
  <c r="AF1683" i="1"/>
  <c r="AJ1638" i="1"/>
  <c r="AO1638" i="1"/>
  <c r="AO1683" i="1"/>
  <c r="AK1730" i="1"/>
  <c r="AA1633" i="1"/>
  <c r="AK1633" i="1"/>
  <c r="AE1638" i="1"/>
  <c r="AF1730" i="1"/>
  <c r="AN1633" i="1"/>
  <c r="AN1730" i="1"/>
  <c r="AC1633" i="1"/>
  <c r="AR1633" i="1"/>
  <c r="AA1638" i="1"/>
  <c r="AA1683" i="1"/>
  <c r="AK1683" i="1"/>
  <c r="AP1683" i="1"/>
  <c r="AS1716" i="1"/>
  <c r="AS1693" i="1"/>
  <c r="AS1715" i="1"/>
  <c r="AS1727" i="1"/>
  <c r="AS1661" i="1"/>
  <c r="AS1653" i="1"/>
  <c r="AS1643" i="1"/>
  <c r="AS1654" i="1"/>
  <c r="AR1716" i="1"/>
  <c r="AQ1716" i="1"/>
  <c r="AQ1717" i="1"/>
  <c r="AP1716" i="1"/>
  <c r="AO1716" i="1"/>
  <c r="AN1716" i="1"/>
  <c r="AM1716" i="1"/>
  <c r="AL1716" i="1"/>
  <c r="AK1716" i="1"/>
  <c r="AJ1716" i="1"/>
  <c r="AI1716" i="1"/>
  <c r="AH1716" i="1"/>
  <c r="AF1716" i="1"/>
  <c r="AE1716" i="1"/>
  <c r="AE1717" i="1"/>
  <c r="AD1716" i="1"/>
  <c r="AC1716" i="1"/>
  <c r="AB1716" i="1"/>
  <c r="AA1716" i="1"/>
  <c r="Z1716" i="1"/>
  <c r="Y1716" i="1"/>
  <c r="AS1734" i="1" l="1"/>
  <c r="AS1732" i="1"/>
  <c r="AC1508" i="1"/>
  <c r="AR1505" i="1"/>
  <c r="AQ1505" i="1"/>
  <c r="AP1505" i="1"/>
  <c r="AN1505" i="1"/>
  <c r="AM1505" i="1"/>
  <c r="AJ1505" i="1"/>
  <c r="AI1505" i="1"/>
  <c r="AH1505" i="1"/>
  <c r="AG1505" i="1"/>
  <c r="AF1505" i="1"/>
  <c r="AE1505" i="1"/>
  <c r="AB1505" i="1"/>
  <c r="AA1505" i="1"/>
  <c r="AO1505" i="1"/>
  <c r="AD1499" i="1"/>
  <c r="AC1499" i="1"/>
  <c r="AB1499" i="1"/>
  <c r="Z1499" i="1"/>
  <c r="AM1496" i="1"/>
  <c r="AL1496" i="1"/>
  <c r="AJ1496" i="1"/>
  <c r="AI1496" i="1"/>
  <c r="AG1496" i="1"/>
  <c r="AE1496" i="1"/>
  <c r="AD1496" i="1"/>
  <c r="AB1496" i="1"/>
  <c r="AA1496" i="1"/>
  <c r="AI1493" i="1"/>
  <c r="AH1493" i="1"/>
  <c r="AG1493" i="1"/>
  <c r="AF1493" i="1"/>
  <c r="AE1493" i="1"/>
  <c r="AD1493" i="1"/>
  <c r="AC1493" i="1"/>
  <c r="AB1493" i="1"/>
  <c r="AA1493" i="1"/>
  <c r="Z1493" i="1"/>
  <c r="U1493" i="1"/>
  <c r="S1493" i="1"/>
  <c r="R1493" i="1"/>
  <c r="Q1493" i="1"/>
  <c r="K1493" i="1"/>
  <c r="U1499" i="1"/>
  <c r="S1499" i="1"/>
  <c r="R1499" i="1"/>
  <c r="Q1499" i="1"/>
  <c r="K1499" i="1"/>
  <c r="AA1499" i="1"/>
  <c r="U1496" i="1"/>
  <c r="S1496" i="1"/>
  <c r="R1496" i="1"/>
  <c r="Q1496" i="1"/>
  <c r="K1496" i="1"/>
  <c r="AK1496" i="1"/>
  <c r="AH1496" i="1"/>
  <c r="AN1488" i="1"/>
  <c r="AC1488" i="1"/>
  <c r="AD1488" i="1"/>
  <c r="AE1488" i="1"/>
  <c r="AF1488" i="1"/>
  <c r="AG1488" i="1"/>
  <c r="AH1488" i="1"/>
  <c r="AI1488" i="1"/>
  <c r="AJ1488" i="1"/>
  <c r="AK1488" i="1"/>
  <c r="AL1488" i="1"/>
  <c r="AM1488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R1512" i="1" l="1"/>
  <c r="AR1653" i="1" s="1"/>
  <c r="AK1502" i="1"/>
  <c r="AQ1502" i="1"/>
  <c r="AE1502" i="1"/>
  <c r="AL1502" i="1"/>
  <c r="AJ1502" i="1"/>
  <c r="AI1502" i="1"/>
  <c r="AR1502" i="1"/>
  <c r="AH1502" i="1"/>
  <c r="AG1502" i="1"/>
  <c r="AD1502" i="1"/>
  <c r="AF1502" i="1"/>
  <c r="AO1502" i="1"/>
  <c r="AM1502" i="1"/>
  <c r="AC1505" i="1"/>
  <c r="AK1505" i="1"/>
  <c r="AD1505" i="1"/>
  <c r="AL1505" i="1"/>
  <c r="AA1502" i="1"/>
  <c r="AP1502" i="1"/>
  <c r="AC1502" i="1"/>
  <c r="AN1502" i="1"/>
  <c r="AF1496" i="1"/>
  <c r="AC1496" i="1"/>
  <c r="AB1502" i="1"/>
  <c r="Z1496" i="1"/>
  <c r="AR1686" i="1" l="1"/>
  <c r="AR1511" i="1"/>
  <c r="AR1727" i="1"/>
  <c r="AR1715" i="1"/>
  <c r="AM1481" i="1"/>
  <c r="AF1490" i="1" l="1"/>
  <c r="AE1490" i="1"/>
  <c r="AI1490" i="1"/>
  <c r="AG1490" i="1"/>
  <c r="AH1490" i="1"/>
  <c r="AM1490" i="1"/>
  <c r="AO1490" i="1"/>
  <c r="AP1490" i="1"/>
  <c r="AJ1490" i="1"/>
  <c r="AQ1490" i="1"/>
  <c r="AK1490" i="1"/>
  <c r="AN1481" i="1"/>
  <c r="AN1490" i="1"/>
  <c r="AC1490" i="1"/>
  <c r="AD1490" i="1"/>
  <c r="AL1490" i="1"/>
  <c r="AR1490" i="1" l="1"/>
  <c r="AR1693" i="1"/>
  <c r="AR1734" i="1" s="1"/>
  <c r="AR1513" i="1"/>
  <c r="T1513" i="1"/>
  <c r="T1512" i="1"/>
  <c r="T1510" i="1"/>
  <c r="T1509" i="1"/>
  <c r="K1512" i="1"/>
  <c r="AO1511" i="1"/>
  <c r="AG1511" i="1"/>
  <c r="AE1511" i="1"/>
  <c r="AA1508" i="1"/>
  <c r="U1508" i="1"/>
  <c r="S1508" i="1"/>
  <c r="R1508" i="1"/>
  <c r="P1508" i="1"/>
  <c r="K1508" i="1"/>
  <c r="AB1508" i="1"/>
  <c r="Z1508" i="1"/>
  <c r="U1505" i="1"/>
  <c r="S1505" i="1"/>
  <c r="R1505" i="1"/>
  <c r="P1505" i="1"/>
  <c r="K1505" i="1"/>
  <c r="Z1505" i="1"/>
  <c r="U1501" i="1"/>
  <c r="T1501" i="1"/>
  <c r="AO1512" i="1"/>
  <c r="AL1512" i="1"/>
  <c r="AG1512" i="1"/>
  <c r="AD1512" i="1"/>
  <c r="U1500" i="1"/>
  <c r="T1500" i="1"/>
  <c r="T1489" i="1"/>
  <c r="AB1488" i="1"/>
  <c r="AA1488" i="1"/>
  <c r="Z1488" i="1"/>
  <c r="T1488" i="1"/>
  <c r="U1487" i="1"/>
  <c r="S1487" i="1"/>
  <c r="R1487" i="1"/>
  <c r="P1487" i="1"/>
  <c r="AB1487" i="1"/>
  <c r="AA1487" i="1"/>
  <c r="Z1487" i="1"/>
  <c r="AI1484" i="1"/>
  <c r="AA1484" i="1"/>
  <c r="U1484" i="1"/>
  <c r="S1484" i="1"/>
  <c r="R1484" i="1"/>
  <c r="P1484" i="1"/>
  <c r="AL1484" i="1"/>
  <c r="AK1484" i="1"/>
  <c r="AJ1484" i="1"/>
  <c r="AH1484" i="1"/>
  <c r="AG1484" i="1"/>
  <c r="AE1484" i="1"/>
  <c r="AD1484" i="1"/>
  <c r="AC1484" i="1"/>
  <c r="AB1484" i="1"/>
  <c r="Z1484" i="1"/>
  <c r="AA1481" i="1"/>
  <c r="Z1481" i="1"/>
  <c r="U1481" i="1"/>
  <c r="S1481" i="1"/>
  <c r="R1481" i="1"/>
  <c r="P1481" i="1"/>
  <c r="AF1481" i="1"/>
  <c r="Y1625" i="1"/>
  <c r="Y1626" i="1" s="1"/>
  <c r="AR1514" i="1" l="1"/>
  <c r="AR1687" i="1"/>
  <c r="AR1661" i="1"/>
  <c r="T1511" i="1"/>
  <c r="Z1502" i="1"/>
  <c r="AI1512" i="1"/>
  <c r="AQ1512" i="1"/>
  <c r="AH1511" i="1"/>
  <c r="AP1511" i="1"/>
  <c r="AI1511" i="1"/>
  <c r="K1502" i="1"/>
  <c r="AM1511" i="1"/>
  <c r="AN1511" i="1"/>
  <c r="AG1481" i="1"/>
  <c r="AB1512" i="1"/>
  <c r="K1513" i="1"/>
  <c r="K1514" i="1" s="1"/>
  <c r="AF1484" i="1"/>
  <c r="AC1512" i="1"/>
  <c r="AK1512" i="1"/>
  <c r="T1490" i="1"/>
  <c r="T1502" i="1"/>
  <c r="U1502" i="1"/>
  <c r="Z1511" i="1"/>
  <c r="AH1481" i="1"/>
  <c r="AE1512" i="1"/>
  <c r="AM1512" i="1"/>
  <c r="AA1490" i="1"/>
  <c r="AI1481" i="1"/>
  <c r="AF1512" i="1"/>
  <c r="AN1512" i="1"/>
  <c r="AQ1511" i="1"/>
  <c r="AB1490" i="1"/>
  <c r="AF1511" i="1"/>
  <c r="Z1490" i="1"/>
  <c r="AH1512" i="1"/>
  <c r="AP1512" i="1"/>
  <c r="K1511" i="1"/>
  <c r="T1514" i="1"/>
  <c r="AJ1512" i="1"/>
  <c r="AA1511" i="1"/>
  <c r="AM1513" i="1"/>
  <c r="AE1513" i="1"/>
  <c r="AQ1513" i="1"/>
  <c r="AH1513" i="1"/>
  <c r="AB1481" i="1"/>
  <c r="AJ1481" i="1"/>
  <c r="AB1511" i="1"/>
  <c r="AJ1511" i="1"/>
  <c r="AC1511" i="1"/>
  <c r="AK1511" i="1"/>
  <c r="AC1481" i="1"/>
  <c r="AD1481" i="1"/>
  <c r="AL1481" i="1"/>
  <c r="AD1511" i="1"/>
  <c r="AL1511" i="1"/>
  <c r="AK1481" i="1"/>
  <c r="AE1481" i="1"/>
  <c r="AM1484" i="1"/>
  <c r="K1490" i="1"/>
  <c r="Y1645" i="1"/>
  <c r="Z1729" i="1"/>
  <c r="Y1729" i="1"/>
  <c r="Y1728" i="1"/>
  <c r="W1645" i="1"/>
  <c r="M1638" i="1"/>
  <c r="L1638" i="1"/>
  <c r="AO1731" i="1" l="1"/>
  <c r="AB1731" i="1"/>
  <c r="AJ1731" i="1"/>
  <c r="AR1731" i="1"/>
  <c r="AR1732" i="1" s="1"/>
  <c r="AR1684" i="1"/>
  <c r="AC1731" i="1"/>
  <c r="AK1731" i="1"/>
  <c r="Z1638" i="1"/>
  <c r="Z1731" i="1"/>
  <c r="AD1731" i="1"/>
  <c r="AL1731" i="1"/>
  <c r="AR1643" i="1"/>
  <c r="AR1654" i="1"/>
  <c r="AP1731" i="1"/>
  <c r="AF1731" i="1"/>
  <c r="AN1731" i="1"/>
  <c r="AQ1514" i="1"/>
  <c r="AH1514" i="1"/>
  <c r="AI1513" i="1"/>
  <c r="AL1513" i="1"/>
  <c r="AN1513" i="1"/>
  <c r="AF1513" i="1"/>
  <c r="AH1731" i="1"/>
  <c r="AE1514" i="1"/>
  <c r="AD1513" i="1"/>
  <c r="Z1513" i="1"/>
  <c r="AE1731" i="1"/>
  <c r="AA1513" i="1"/>
  <c r="AK1513" i="1"/>
  <c r="AM1731" i="1"/>
  <c r="AM1514" i="1"/>
  <c r="Y1638" i="1"/>
  <c r="Y1683" i="1"/>
  <c r="Y1730" i="1"/>
  <c r="Y1731" i="1" s="1"/>
  <c r="K1648" i="1"/>
  <c r="AG1731" i="1"/>
  <c r="AB1513" i="1"/>
  <c r="AG1513" i="1"/>
  <c r="AP1513" i="1"/>
  <c r="AC1513" i="1"/>
  <c r="AI1731" i="1"/>
  <c r="AQ1731" i="1"/>
  <c r="AO1513" i="1"/>
  <c r="AJ1513" i="1"/>
  <c r="U1637" i="1"/>
  <c r="U1638" i="1" s="1"/>
  <c r="T1637" i="1"/>
  <c r="T1638" i="1" s="1"/>
  <c r="S1637" i="1"/>
  <c r="S1638" i="1" s="1"/>
  <c r="R1637" i="1"/>
  <c r="R1638" i="1" s="1"/>
  <c r="Q1637" i="1"/>
  <c r="Q1638" i="1" s="1"/>
  <c r="P1637" i="1"/>
  <c r="P1638" i="1" s="1"/>
  <c r="O1637" i="1"/>
  <c r="O1638" i="1" s="1"/>
  <c r="N1637" i="1"/>
  <c r="N1638" i="1" s="1"/>
  <c r="X118" i="1"/>
  <c r="X122" i="1"/>
  <c r="X170" i="1" s="1"/>
  <c r="X123" i="1"/>
  <c r="X1701" i="1" s="1"/>
  <c r="X372" i="1"/>
  <c r="X373" i="1" s="1"/>
  <c r="X375" i="1"/>
  <c r="X376" i="1" s="1"/>
  <c r="X389" i="1"/>
  <c r="X393" i="1"/>
  <c r="X396" i="1" s="1"/>
  <c r="X395" i="1"/>
  <c r="X406" i="1"/>
  <c r="X433" i="1" s="1"/>
  <c r="X432" i="1"/>
  <c r="X451" i="1"/>
  <c r="X452" i="1" s="1"/>
  <c r="X454" i="1"/>
  <c r="X455" i="1" s="1"/>
  <c r="X457" i="1"/>
  <c r="X458" i="1" s="1"/>
  <c r="X459" i="1"/>
  <c r="X476" i="1"/>
  <c r="X477" i="1" s="1"/>
  <c r="X503" i="1"/>
  <c r="X504" i="1" s="1"/>
  <c r="X512" i="1"/>
  <c r="X513" i="1" s="1"/>
  <c r="X523" i="1"/>
  <c r="X530" i="1"/>
  <c r="X531" i="1" s="1"/>
  <c r="X536" i="1"/>
  <c r="X537" i="1" s="1"/>
  <c r="X542" i="1"/>
  <c r="X543" i="1" s="1"/>
  <c r="X545" i="1"/>
  <c r="X547" i="1"/>
  <c r="X554" i="1"/>
  <c r="X555" i="1" s="1"/>
  <c r="X557" i="1"/>
  <c r="X558" i="1" s="1"/>
  <c r="X560" i="1"/>
  <c r="X561" i="1" s="1"/>
  <c r="X562" i="1"/>
  <c r="X588" i="1"/>
  <c r="X633" i="1" s="1"/>
  <c r="X632" i="1"/>
  <c r="X636" i="1"/>
  <c r="X637" i="1" s="1"/>
  <c r="X639" i="1"/>
  <c r="X640" i="1" s="1"/>
  <c r="X642" i="1"/>
  <c r="X643" i="1" s="1"/>
  <c r="X645" i="1"/>
  <c r="X646" i="1" s="1"/>
  <c r="X648" i="1"/>
  <c r="X649" i="1" s="1"/>
  <c r="X650" i="1"/>
  <c r="X654" i="1"/>
  <c r="X655" i="1" s="1"/>
  <c r="X657" i="1"/>
  <c r="X658" i="1" s="1"/>
  <c r="X668" i="1"/>
  <c r="X725" i="1"/>
  <c r="X726" i="1" s="1"/>
  <c r="X767" i="1"/>
  <c r="X768" i="1" s="1"/>
  <c r="X797" i="1"/>
  <c r="X798" i="1" s="1"/>
  <c r="X803" i="1"/>
  <c r="X826" i="1"/>
  <c r="X830" i="1"/>
  <c r="X833" i="1" s="1"/>
  <c r="X832" i="1"/>
  <c r="X849" i="1"/>
  <c r="X850" i="1" s="1"/>
  <c r="X861" i="1"/>
  <c r="X862" i="1" s="1"/>
  <c r="X876" i="1"/>
  <c r="X877" i="1" s="1"/>
  <c r="X888" i="1"/>
  <c r="X889" i="1" s="1"/>
  <c r="X927" i="1"/>
  <c r="X929" i="1"/>
  <c r="X933" i="1"/>
  <c r="X934" i="1" s="1"/>
  <c r="X936" i="1"/>
  <c r="X937" i="1" s="1"/>
  <c r="X938" i="1"/>
  <c r="X946" i="1"/>
  <c r="X947" i="1" s="1"/>
  <c r="X949" i="1"/>
  <c r="X950" i="1" s="1"/>
  <c r="X952" i="1"/>
  <c r="X953" i="1" s="1"/>
  <c r="X958" i="1"/>
  <c r="X959" i="1" s="1"/>
  <c r="X964" i="1"/>
  <c r="X965" i="1" s="1"/>
  <c r="X967" i="1"/>
  <c r="X968" i="1" s="1"/>
  <c r="X973" i="1"/>
  <c r="X974" i="1" s="1"/>
  <c r="X991" i="1"/>
  <c r="X992" i="1" s="1"/>
  <c r="X997" i="1"/>
  <c r="X998" i="1" s="1"/>
  <c r="X1008" i="1"/>
  <c r="X1012" i="1"/>
  <c r="X1013" i="1" s="1"/>
  <c r="X1015" i="1"/>
  <c r="X1016" i="1" s="1"/>
  <c r="X1017" i="1"/>
  <c r="X1021" i="1"/>
  <c r="X1024" i="1"/>
  <c r="X1025" i="1" s="1"/>
  <c r="X1027" i="1"/>
  <c r="X1028" i="1" s="1"/>
  <c r="X1029" i="1"/>
  <c r="X1037" i="1"/>
  <c r="X1038" i="1" s="1"/>
  <c r="X1052" i="1"/>
  <c r="X1053" i="1" s="1"/>
  <c r="X1055" i="1"/>
  <c r="X1056" i="1" s="1"/>
  <c r="X1058" i="1"/>
  <c r="X1059" i="1" s="1"/>
  <c r="X1061" i="1"/>
  <c r="X1062" i="1" s="1"/>
  <c r="X1070" i="1"/>
  <c r="X1071" i="1" s="1"/>
  <c r="X1075" i="1"/>
  <c r="X1079" i="1"/>
  <c r="X1080" i="1" s="1"/>
  <c r="X1081" i="1"/>
  <c r="X1085" i="1"/>
  <c r="X1086" i="1" s="1"/>
  <c r="X1087" i="1"/>
  <c r="X1095" i="1"/>
  <c r="X1101" i="1"/>
  <c r="X1102" i="1" s="1"/>
  <c r="X1104" i="1"/>
  <c r="X1105" i="1" s="1"/>
  <c r="X1107" i="1"/>
  <c r="X1108" i="1" s="1"/>
  <c r="X1113" i="1"/>
  <c r="X1114" i="1" s="1"/>
  <c r="X1116" i="1"/>
  <c r="X1117" i="1" s="1"/>
  <c r="X1122" i="1"/>
  <c r="X1123" i="1" s="1"/>
  <c r="X1127" i="1"/>
  <c r="X1131" i="1"/>
  <c r="X1132" i="1" s="1"/>
  <c r="X1133" i="1"/>
  <c r="X1144" i="1"/>
  <c r="X1145" i="1" s="1"/>
  <c r="X1153" i="1"/>
  <c r="X1154" i="1" s="1"/>
  <c r="X1156" i="1"/>
  <c r="X1157" i="1" s="1"/>
  <c r="X1165" i="1"/>
  <c r="X1166" i="1" s="1"/>
  <c r="X1168" i="1"/>
  <c r="X1169" i="1" s="1"/>
  <c r="X1171" i="1"/>
  <c r="X1172" i="1" s="1"/>
  <c r="X1182" i="1"/>
  <c r="X1186" i="1"/>
  <c r="X1187" i="1" s="1"/>
  <c r="X1188" i="1"/>
  <c r="X1192" i="1"/>
  <c r="X1193" i="1" s="1"/>
  <c r="X1195" i="1"/>
  <c r="X1197" i="1"/>
  <c r="X1205" i="1"/>
  <c r="X1206" i="1" s="1"/>
  <c r="X1208" i="1"/>
  <c r="X1209" i="1" s="1"/>
  <c r="X1211" i="1"/>
  <c r="X1212" i="1" s="1"/>
  <c r="X1214" i="1"/>
  <c r="X1215" i="1" s="1"/>
  <c r="X1217" i="1"/>
  <c r="X1218" i="1" s="1"/>
  <c r="X1220" i="1"/>
  <c r="X1221" i="1" s="1"/>
  <c r="X1223" i="1"/>
  <c r="X1224" i="1" s="1"/>
  <c r="X1226" i="1"/>
  <c r="X1227" i="1" s="1"/>
  <c r="X1229" i="1"/>
  <c r="X1230" i="1" s="1"/>
  <c r="X1232" i="1"/>
  <c r="X1233" i="1" s="1"/>
  <c r="X1235" i="1"/>
  <c r="X1236" i="1" s="1"/>
  <c r="X1238" i="1"/>
  <c r="X1239" i="1" s="1"/>
  <c r="X1241" i="1"/>
  <c r="X1242" i="1" s="1"/>
  <c r="X1244" i="1"/>
  <c r="X1245" i="1" s="1"/>
  <c r="X1246" i="1"/>
  <c r="X1250" i="1"/>
  <c r="X1251" i="1" s="1"/>
  <c r="X1252" i="1"/>
  <c r="X1256" i="1"/>
  <c r="X1259" i="1" s="1"/>
  <c r="X1258" i="1"/>
  <c r="X1266" i="1"/>
  <c r="X1267" i="1" s="1"/>
  <c r="X1269" i="1"/>
  <c r="X1270" i="1" s="1"/>
  <c r="X1272" i="1"/>
  <c r="X1273" i="1" s="1"/>
  <c r="X1275" i="1"/>
  <c r="X1276" i="1" s="1"/>
  <c r="X1278" i="1"/>
  <c r="X1279" i="1" s="1"/>
  <c r="X1281" i="1"/>
  <c r="X1282" i="1" s="1"/>
  <c r="X1284" i="1"/>
  <c r="X1285" i="1" s="1"/>
  <c r="X1287" i="1"/>
  <c r="X1288" i="1" s="1"/>
  <c r="X1290" i="1"/>
  <c r="X1291" i="1" s="1"/>
  <c r="X1293" i="1"/>
  <c r="X1295" i="1"/>
  <c r="X1299" i="1"/>
  <c r="X1300" i="1" s="1"/>
  <c r="X1302" i="1"/>
  <c r="X1303" i="1" s="1"/>
  <c r="X1305" i="1"/>
  <c r="X1306" i="1" s="1"/>
  <c r="X1307" i="1"/>
  <c r="X1315" i="1"/>
  <c r="X1316" i="1" s="1"/>
  <c r="X1318" i="1"/>
  <c r="X1319" i="1" s="1"/>
  <c r="X1321" i="1"/>
  <c r="X1322" i="1" s="1"/>
  <c r="X1324" i="1"/>
  <c r="X1325" i="1" s="1"/>
  <c r="X1327" i="1"/>
  <c r="X1328" i="1" s="1"/>
  <c r="X1330" i="1"/>
  <c r="X1331" i="1" s="1"/>
  <c r="X1333" i="1"/>
  <c r="X1334" i="1" s="1"/>
  <c r="X1336" i="1"/>
  <c r="X1337" i="1" s="1"/>
  <c r="X1339" i="1"/>
  <c r="X1340" i="1" s="1"/>
  <c r="X1342" i="1"/>
  <c r="X1343" i="1" s="1"/>
  <c r="X1345" i="1"/>
  <c r="X1346" i="1" s="1"/>
  <c r="X1348" i="1"/>
  <c r="X1349" i="1" s="1"/>
  <c r="X1351" i="1"/>
  <c r="X1352" i="1" s="1"/>
  <c r="X1353" i="1"/>
  <c r="X1357" i="1"/>
  <c r="X1358" i="1" s="1"/>
  <c r="X1360" i="1"/>
  <c r="X1361" i="1" s="1"/>
  <c r="X1363" i="1"/>
  <c r="X1364" i="1" s="1"/>
  <c r="X1366" i="1"/>
  <c r="X1367" i="1" s="1"/>
  <c r="X1369" i="1"/>
  <c r="X1370" i="1" s="1"/>
  <c r="X1371" i="1"/>
  <c r="X1375" i="1"/>
  <c r="X1378" i="1"/>
  <c r="X1379" i="1" s="1"/>
  <c r="X1381" i="1"/>
  <c r="X1382" i="1"/>
  <c r="X1383" i="1"/>
  <c r="X1391" i="1"/>
  <c r="X1392" i="1" s="1"/>
  <c r="X1394" i="1"/>
  <c r="X1395" i="1" s="1"/>
  <c r="X1397" i="1"/>
  <c r="X1398" i="1" s="1"/>
  <c r="X1399" i="1"/>
  <c r="X1403" i="1"/>
  <c r="X1406" i="1" s="1"/>
  <c r="X1405" i="1"/>
  <c r="X1409" i="1"/>
  <c r="X1410" i="1" s="1"/>
  <c r="X1412" i="1"/>
  <c r="X1413" i="1" s="1"/>
  <c r="X1415" i="1"/>
  <c r="X1416" i="1" s="1"/>
  <c r="X1418" i="1"/>
  <c r="X1419" i="1" s="1"/>
  <c r="X1421" i="1"/>
  <c r="X1422" i="1" s="1"/>
  <c r="X1423" i="1"/>
  <c r="X1554" i="1"/>
  <c r="X1558" i="1"/>
  <c r="X1559" i="1" s="1"/>
  <c r="X1563" i="1"/>
  <c r="X1567" i="1"/>
  <c r="X1568" i="1"/>
  <c r="X1569" i="1" s="1"/>
  <c r="X1572" i="1"/>
  <c r="X1573" i="1"/>
  <c r="X1577" i="1"/>
  <c r="X1578" i="1"/>
  <c r="X1582" i="1"/>
  <c r="X1583" i="1"/>
  <c r="X1587" i="1"/>
  <c r="X1588" i="1"/>
  <c r="X1589" i="1" s="1"/>
  <c r="X1592" i="1"/>
  <c r="X1593" i="1"/>
  <c r="X1597" i="1"/>
  <c r="X1598" i="1"/>
  <c r="X1602" i="1"/>
  <c r="X1603" i="1"/>
  <c r="X1618" i="1"/>
  <c r="X1619" i="1" s="1"/>
  <c r="X1625" i="1"/>
  <c r="X1626" i="1" s="1"/>
  <c r="X1645" i="1"/>
  <c r="X1664" i="1"/>
  <c r="X1716" i="1"/>
  <c r="AI1514" i="1" l="1"/>
  <c r="AG1514" i="1"/>
  <c r="AD1514" i="1"/>
  <c r="AB1514" i="1"/>
  <c r="AK1514" i="1"/>
  <c r="AP1514" i="1"/>
  <c r="AJ1514" i="1"/>
  <c r="AC1514" i="1"/>
  <c r="AA1514" i="1"/>
  <c r="AF1514" i="1"/>
  <c r="AN1514" i="1"/>
  <c r="AO1514" i="1"/>
  <c r="Z1514" i="1"/>
  <c r="AL1514" i="1"/>
  <c r="X1700" i="1"/>
  <c r="X1702" i="1" s="1"/>
  <c r="X548" i="1"/>
  <c r="X549" i="1" s="1"/>
  <c r="X1663" i="1"/>
  <c r="X1594" i="1"/>
  <c r="X1574" i="1"/>
  <c r="X939" i="1"/>
  <c r="X940" i="1" s="1"/>
  <c r="X589" i="1"/>
  <c r="X1384" i="1"/>
  <c r="X1385" i="1" s="1"/>
  <c r="X1604" i="1"/>
  <c r="X1253" i="1"/>
  <c r="X1254" i="1" s="1"/>
  <c r="X1198" i="1"/>
  <c r="X1599" i="1"/>
  <c r="X124" i="1"/>
  <c r="X1628" i="1"/>
  <c r="X1627" i="1"/>
  <c r="X1136" i="1"/>
  <c r="X462" i="1"/>
  <c r="X1666" i="1"/>
  <c r="X524" i="1"/>
  <c r="X525" i="1" s="1"/>
  <c r="X1407" i="1"/>
  <c r="X565" i="1"/>
  <c r="X1030" i="1"/>
  <c r="X1031" i="1" s="1"/>
  <c r="X1426" i="1"/>
  <c r="X1200" i="1"/>
  <c r="X930" i="1"/>
  <c r="X931" i="1" s="1"/>
  <c r="X671" i="1"/>
  <c r="X1579" i="1"/>
  <c r="X1090" i="1"/>
  <c r="X634" i="1"/>
  <c r="X1310" i="1"/>
  <c r="X1717" i="1"/>
  <c r="X460" i="1"/>
  <c r="X461" i="1" s="1"/>
  <c r="X1584" i="1"/>
  <c r="X1376" i="1"/>
  <c r="X1128" i="1"/>
  <c r="X1129" i="1" s="1"/>
  <c r="X941" i="1"/>
  <c r="X827" i="1"/>
  <c r="X828" i="1" s="1"/>
  <c r="X398" i="1"/>
  <c r="X1621" i="1"/>
  <c r="X1620" i="1"/>
  <c r="X1076" i="1"/>
  <c r="X1077" i="1" s="1"/>
  <c r="X1658" i="1"/>
  <c r="X1032" i="1"/>
  <c r="X1713" i="1"/>
  <c r="X1647" i="1"/>
  <c r="X1655" i="1" s="1"/>
  <c r="X1009" i="1"/>
  <c r="X1010" i="1" s="1"/>
  <c r="X1646" i="1"/>
  <c r="X1424" i="1"/>
  <c r="X1425" i="1" s="1"/>
  <c r="X1196" i="1"/>
  <c r="X1082" i="1"/>
  <c r="X1083" i="1" s="1"/>
  <c r="X835" i="1"/>
  <c r="X1691" i="1"/>
  <c r="X1400" i="1"/>
  <c r="X1354" i="1"/>
  <c r="X1355" i="1" s="1"/>
  <c r="X1261" i="1"/>
  <c r="X669" i="1"/>
  <c r="X670" i="1" s="1"/>
  <c r="X1675" i="1"/>
  <c r="X1688" i="1" s="1"/>
  <c r="X1308" i="1"/>
  <c r="X1309" i="1" s="1"/>
  <c r="X1296" i="1"/>
  <c r="X1297" i="1" s="1"/>
  <c r="X1257" i="1"/>
  <c r="X804" i="1"/>
  <c r="X563" i="1"/>
  <c r="X564" i="1" s="1"/>
  <c r="X1199" i="1"/>
  <c r="X834" i="1"/>
  <c r="X397" i="1"/>
  <c r="X1260" i="1"/>
  <c r="X434" i="1"/>
  <c r="X1673" i="1"/>
  <c r="X1718" i="1"/>
  <c r="X1564" i="1"/>
  <c r="X1404" i="1"/>
  <c r="X1372" i="1"/>
  <c r="X1373" i="1" s="1"/>
  <c r="X1294" i="1"/>
  <c r="X1183" i="1"/>
  <c r="X1184" i="1" s="1"/>
  <c r="X1018" i="1"/>
  <c r="X1019" i="1" s="1"/>
  <c r="X928" i="1"/>
  <c r="X831" i="1"/>
  <c r="X651" i="1"/>
  <c r="X652" i="1" s="1"/>
  <c r="X546" i="1"/>
  <c r="X407" i="1"/>
  <c r="X394" i="1"/>
  <c r="X1681" i="1"/>
  <c r="X1247" i="1"/>
  <c r="X1248" i="1" s="1"/>
  <c r="X1134" i="1"/>
  <c r="X171" i="1"/>
  <c r="X172" i="1" s="1"/>
  <c r="X1189" i="1"/>
  <c r="X1190" i="1" s="1"/>
  <c r="X1088" i="1"/>
  <c r="X390" i="1"/>
  <c r="X399" i="1" s="1"/>
  <c r="X1386" i="1"/>
  <c r="X1096" i="1"/>
  <c r="X1022" i="1"/>
  <c r="X1725" i="1"/>
  <c r="W1567" i="1"/>
  <c r="X836" i="1" l="1"/>
  <c r="X1427" i="1"/>
  <c r="X400" i="1"/>
  <c r="X463" i="1"/>
  <c r="X464" i="1" s="1"/>
  <c r="X1401" i="1"/>
  <c r="X566" i="1"/>
  <c r="X567" i="1" s="1"/>
  <c r="X837" i="1"/>
  <c r="X1719" i="1"/>
  <c r="X1735" i="1" s="1"/>
  <c r="X942" i="1"/>
  <c r="X943" i="1" s="1"/>
  <c r="X1648" i="1"/>
  <c r="X1686" i="1"/>
  <c r="X1641" i="1"/>
  <c r="X1653" i="1" s="1"/>
  <c r="X1311" i="1"/>
  <c r="X1312" i="1" s="1"/>
  <c r="X1692" i="1"/>
  <c r="X1693" i="1" s="1"/>
  <c r="X1089" i="1"/>
  <c r="X1091" i="1"/>
  <c r="X1092" i="1" s="1"/>
  <c r="X1682" i="1"/>
  <c r="X1684" i="1" s="1"/>
  <c r="X1659" i="1"/>
  <c r="X1033" i="1"/>
  <c r="X1034" i="1" s="1"/>
  <c r="X672" i="1"/>
  <c r="X673" i="1" s="1"/>
  <c r="X1387" i="1"/>
  <c r="X1388" i="1" s="1"/>
  <c r="X1137" i="1"/>
  <c r="X1138" i="1" s="1"/>
  <c r="X1135" i="1"/>
  <c r="X1262" i="1"/>
  <c r="X1263" i="1" s="1"/>
  <c r="X1428" i="1"/>
  <c r="X1674" i="1"/>
  <c r="X1676" i="1" s="1"/>
  <c r="X1714" i="1"/>
  <c r="X1715" i="1" s="1"/>
  <c r="X391" i="1"/>
  <c r="X1726" i="1"/>
  <c r="X1727" i="1" s="1"/>
  <c r="X1732" i="1" s="1"/>
  <c r="X1201" i="1"/>
  <c r="X1202" i="1" s="1"/>
  <c r="W1381" i="1"/>
  <c r="W1366" i="1"/>
  <c r="W1363" i="1"/>
  <c r="X1720" i="1" l="1"/>
  <c r="X1642" i="1"/>
  <c r="X1734" i="1"/>
  <c r="X1736" i="1" s="1"/>
  <c r="X1687" i="1"/>
  <c r="X1689" i="1" s="1"/>
  <c r="X1661" i="1"/>
  <c r="W1582" i="1"/>
  <c r="W1577" i="1"/>
  <c r="W1572" i="1"/>
  <c r="X1643" i="1" l="1"/>
  <c r="X1654" i="1"/>
  <c r="X1656" i="1" s="1"/>
  <c r="AQ1423" i="1" l="1"/>
  <c r="AD1423" i="1"/>
  <c r="AE1423" i="1"/>
  <c r="AF1423" i="1"/>
  <c r="AG1423" i="1"/>
  <c r="AH1423" i="1"/>
  <c r="AI1423" i="1"/>
  <c r="AJ1423" i="1"/>
  <c r="AK1423" i="1"/>
  <c r="AL1423" i="1"/>
  <c r="AM1423" i="1"/>
  <c r="AN1423" i="1"/>
  <c r="AO1423" i="1"/>
  <c r="AP1423" i="1"/>
  <c r="AC1423" i="1"/>
  <c r="Z1423" i="1"/>
  <c r="AA1423" i="1"/>
  <c r="AB1423" i="1"/>
  <c r="Y1423" i="1"/>
  <c r="AF1421" i="1"/>
  <c r="AF1422" i="1" s="1"/>
  <c r="AG1421" i="1"/>
  <c r="AG1422" i="1" s="1"/>
  <c r="AH1421" i="1"/>
  <c r="AH1424" i="1" s="1"/>
  <c r="AI1421" i="1"/>
  <c r="AI1424" i="1" s="1"/>
  <c r="AJ1421" i="1"/>
  <c r="AJ1424" i="1" s="1"/>
  <c r="AK1421" i="1"/>
  <c r="AK1424" i="1" s="1"/>
  <c r="AL1421" i="1"/>
  <c r="AL1422" i="1" s="1"/>
  <c r="AM1421" i="1"/>
  <c r="AM1424" i="1" s="1"/>
  <c r="AN1421" i="1"/>
  <c r="AN1424" i="1" s="1"/>
  <c r="AO1421" i="1"/>
  <c r="AO1424" i="1" s="1"/>
  <c r="AP1421" i="1"/>
  <c r="AP1422" i="1" s="1"/>
  <c r="AE1421" i="1"/>
  <c r="AE1424" i="1" s="1"/>
  <c r="AD1421" i="1"/>
  <c r="AD1424" i="1" s="1"/>
  <c r="AC1421" i="1"/>
  <c r="AC1424" i="1" s="1"/>
  <c r="AB1421" i="1"/>
  <c r="AB1422" i="1" s="1"/>
  <c r="AA1421" i="1"/>
  <c r="AA1422" i="1" s="1"/>
  <c r="Z1421" i="1"/>
  <c r="Z1422" i="1" s="1"/>
  <c r="Y1421" i="1"/>
  <c r="Y1422" i="1" s="1"/>
  <c r="AQ1421" i="1"/>
  <c r="AQ1422" i="1" s="1"/>
  <c r="AB1418" i="1"/>
  <c r="AA1418" i="1"/>
  <c r="Z1418" i="1"/>
  <c r="Y1418" i="1"/>
  <c r="AB1415" i="1"/>
  <c r="AA1415" i="1"/>
  <c r="Z1415" i="1"/>
  <c r="Y1415" i="1"/>
  <c r="AB1412" i="1"/>
  <c r="AA1412" i="1"/>
  <c r="Z1412" i="1"/>
  <c r="Y1412" i="1"/>
  <c r="AB1409" i="1"/>
  <c r="AA1409" i="1"/>
  <c r="Z1409" i="1"/>
  <c r="Y1409" i="1"/>
  <c r="AQ1403" i="1"/>
  <c r="AQ1406" i="1" s="1"/>
  <c r="AP1403" i="1"/>
  <c r="AP1406" i="1" s="1"/>
  <c r="AO1403" i="1"/>
  <c r="AO1406" i="1" s="1"/>
  <c r="AN1403" i="1"/>
  <c r="AN1406" i="1" s="1"/>
  <c r="AM1403" i="1"/>
  <c r="AM1406" i="1" s="1"/>
  <c r="AL1403" i="1"/>
  <c r="AL1406" i="1" s="1"/>
  <c r="AK1403" i="1"/>
  <c r="AK1406" i="1" s="1"/>
  <c r="AJ1403" i="1"/>
  <c r="AJ1406" i="1" s="1"/>
  <c r="AI1403" i="1"/>
  <c r="AI1406" i="1" s="1"/>
  <c r="AH1403" i="1"/>
  <c r="AH1406" i="1" s="1"/>
  <c r="AG1403" i="1"/>
  <c r="AG1406" i="1" s="1"/>
  <c r="AF1403" i="1"/>
  <c r="AF1406" i="1" s="1"/>
  <c r="AE1403" i="1"/>
  <c r="AE1406" i="1" s="1"/>
  <c r="AD1403" i="1"/>
  <c r="AC1403" i="1"/>
  <c r="AC1406" i="1" s="1"/>
  <c r="AB1403" i="1"/>
  <c r="AB1406" i="1" s="1"/>
  <c r="AA1403" i="1"/>
  <c r="AA1406" i="1" s="1"/>
  <c r="Z1403" i="1"/>
  <c r="Z1406" i="1" s="1"/>
  <c r="Y1403" i="1"/>
  <c r="Y1406" i="1" s="1"/>
  <c r="Z1405" i="1"/>
  <c r="AA1405" i="1"/>
  <c r="AB1405" i="1"/>
  <c r="AC1405" i="1"/>
  <c r="AD1405" i="1"/>
  <c r="AE1405" i="1"/>
  <c r="AF1405" i="1"/>
  <c r="AG1405" i="1"/>
  <c r="AH1405" i="1"/>
  <c r="AI1405" i="1"/>
  <c r="AJ1405" i="1"/>
  <c r="AK1405" i="1"/>
  <c r="AL1405" i="1"/>
  <c r="AM1405" i="1"/>
  <c r="AN1405" i="1"/>
  <c r="AO1405" i="1"/>
  <c r="AP1405" i="1"/>
  <c r="AQ1405" i="1"/>
  <c r="AD1406" i="1"/>
  <c r="Y1405" i="1"/>
  <c r="AQ1399" i="1"/>
  <c r="AN1399" i="1"/>
  <c r="AO1399" i="1"/>
  <c r="AP1399" i="1"/>
  <c r="AM1399" i="1"/>
  <c r="AD1399" i="1"/>
  <c r="AE1399" i="1"/>
  <c r="AF1399" i="1"/>
  <c r="AG1399" i="1"/>
  <c r="AH1399" i="1"/>
  <c r="AI1399" i="1"/>
  <c r="AJ1399" i="1"/>
  <c r="AK1399" i="1"/>
  <c r="AL1399" i="1"/>
  <c r="AC1399" i="1"/>
  <c r="Y1399" i="1"/>
  <c r="Z1399" i="1"/>
  <c r="AA1399" i="1"/>
  <c r="AB1399" i="1"/>
  <c r="AB1397" i="1"/>
  <c r="AA1397" i="1"/>
  <c r="Z1397" i="1"/>
  <c r="Y1397" i="1"/>
  <c r="AC1394" i="1"/>
  <c r="AC1395" i="1" s="1"/>
  <c r="AQ1394" i="1"/>
  <c r="AQ1400" i="1" s="1"/>
  <c r="AP1394" i="1"/>
  <c r="AP1395" i="1" s="1"/>
  <c r="AO1394" i="1"/>
  <c r="AO1395" i="1" s="1"/>
  <c r="AN1394" i="1"/>
  <c r="AN1395" i="1" s="1"/>
  <c r="AM1394" i="1"/>
  <c r="AM1395" i="1" s="1"/>
  <c r="AL1394" i="1"/>
  <c r="AL1395" i="1" s="1"/>
  <c r="AK1394" i="1"/>
  <c r="AK1395" i="1" s="1"/>
  <c r="AJ1394" i="1"/>
  <c r="AJ1395" i="1" s="1"/>
  <c r="AI1394" i="1"/>
  <c r="AI1395" i="1" s="1"/>
  <c r="AH1394" i="1"/>
  <c r="AH1395" i="1" s="1"/>
  <c r="AG1394" i="1"/>
  <c r="AG1395" i="1" s="1"/>
  <c r="AF1394" i="1"/>
  <c r="AF1395" i="1" s="1"/>
  <c r="AE1394" i="1"/>
  <c r="AE1395" i="1" s="1"/>
  <c r="AD1394" i="1"/>
  <c r="AD1395" i="1" s="1"/>
  <c r="AB1394" i="1"/>
  <c r="AB1395" i="1" s="1"/>
  <c r="AA1394" i="1"/>
  <c r="Z1394" i="1"/>
  <c r="Y1394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K1424" i="1"/>
  <c r="AG1400" i="1" l="1"/>
  <c r="AH1400" i="1"/>
  <c r="AA1424" i="1"/>
  <c r="AH1422" i="1"/>
  <c r="Y1400" i="1"/>
  <c r="AO1422" i="1"/>
  <c r="Z1400" i="1"/>
  <c r="AE1422" i="1"/>
  <c r="AN1422" i="1"/>
  <c r="AI1400" i="1"/>
  <c r="AA1400" i="1"/>
  <c r="AK1422" i="1"/>
  <c r="AC1400" i="1"/>
  <c r="AK1400" i="1"/>
  <c r="AM1400" i="1"/>
  <c r="Y1424" i="1"/>
  <c r="AP1400" i="1"/>
  <c r="AG1424" i="1"/>
  <c r="AC1422" i="1"/>
  <c r="AF1424" i="1"/>
  <c r="AD1400" i="1"/>
  <c r="AB1424" i="1"/>
  <c r="AI1422" i="1"/>
  <c r="AL1400" i="1"/>
  <c r="AE1400" i="1"/>
  <c r="AQ1395" i="1"/>
  <c r="AF1400" i="1"/>
  <c r="AB1400" i="1"/>
  <c r="AJ1400" i="1"/>
  <c r="AM1422" i="1"/>
  <c r="AQ1401" i="1"/>
  <c r="AD1422" i="1"/>
  <c r="AJ1422" i="1"/>
  <c r="AP1424" i="1"/>
  <c r="AO1400" i="1"/>
  <c r="AQ1424" i="1"/>
  <c r="Z1424" i="1"/>
  <c r="AN1400" i="1"/>
  <c r="AL1424" i="1"/>
  <c r="AQ1426" i="1"/>
  <c r="AQ1407" i="1"/>
  <c r="AQ1404" i="1"/>
  <c r="K1423" i="1"/>
  <c r="AQ1686" i="1" l="1"/>
  <c r="AQ1693" i="1"/>
  <c r="AQ1427" i="1"/>
  <c r="AQ1684" i="1"/>
  <c r="AQ1687" i="1"/>
  <c r="AQ1715" i="1"/>
  <c r="AQ1428" i="1"/>
  <c r="AQ1661" i="1"/>
  <c r="AQ1425" i="1"/>
  <c r="AQ1727" i="1"/>
  <c r="AQ1732" i="1" s="1"/>
  <c r="K1406" i="1"/>
  <c r="K1405" i="1"/>
  <c r="K1400" i="1"/>
  <c r="K1399" i="1"/>
  <c r="K1427" i="1" l="1"/>
  <c r="AQ1654" i="1"/>
  <c r="AQ1734" i="1"/>
  <c r="AQ1653" i="1"/>
  <c r="K1426" i="1"/>
  <c r="AB1413" i="1"/>
  <c r="U1413" i="1"/>
  <c r="S1413" i="1"/>
  <c r="R1413" i="1"/>
  <c r="P1413" i="1"/>
  <c r="K1413" i="1"/>
  <c r="AA1413" i="1"/>
  <c r="Z1413" i="1"/>
  <c r="Y1413" i="1"/>
  <c r="AB1410" i="1"/>
  <c r="AA1410" i="1"/>
  <c r="U1410" i="1"/>
  <c r="S1410" i="1"/>
  <c r="R1410" i="1"/>
  <c r="P1410" i="1"/>
  <c r="K1410" i="1"/>
  <c r="Z1410" i="1"/>
  <c r="Y1410" i="1"/>
  <c r="T1387" i="1"/>
  <c r="T1386" i="1"/>
  <c r="T1384" i="1"/>
  <c r="K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W1383" i="1"/>
  <c r="T1383" i="1"/>
  <c r="K1383" i="1"/>
  <c r="U1382" i="1"/>
  <c r="S1382" i="1"/>
  <c r="R1382" i="1"/>
  <c r="P1382" i="1"/>
  <c r="K1382" i="1"/>
  <c r="AA1381" i="1"/>
  <c r="AA1382" i="1" s="1"/>
  <c r="Z1381" i="1"/>
  <c r="Z1382" i="1" s="1"/>
  <c r="Y1381" i="1"/>
  <c r="Y1382" i="1" s="1"/>
  <c r="W1382" i="1"/>
  <c r="U1379" i="1"/>
  <c r="S1379" i="1"/>
  <c r="R1379" i="1"/>
  <c r="P1379" i="1"/>
  <c r="K1379" i="1"/>
  <c r="AF1378" i="1"/>
  <c r="AE1378" i="1"/>
  <c r="AD1378" i="1"/>
  <c r="AD1379" i="1" s="1"/>
  <c r="AC1378" i="1"/>
  <c r="AC1379" i="1" s="1"/>
  <c r="AB1378" i="1"/>
  <c r="AA1378" i="1"/>
  <c r="AA1379" i="1" s="1"/>
  <c r="Z1378" i="1"/>
  <c r="Z1379" i="1" s="1"/>
  <c r="Y1378" i="1"/>
  <c r="W1378" i="1"/>
  <c r="U1376" i="1"/>
  <c r="S1376" i="1"/>
  <c r="R1376" i="1"/>
  <c r="P1376" i="1"/>
  <c r="K1376" i="1"/>
  <c r="AP1375" i="1"/>
  <c r="AP1384" i="1" s="1"/>
  <c r="AO1375" i="1"/>
  <c r="AO1384" i="1" s="1"/>
  <c r="AN1375" i="1"/>
  <c r="AN1384" i="1" s="1"/>
  <c r="AM1375" i="1"/>
  <c r="AM1384" i="1" s="1"/>
  <c r="AL1375" i="1"/>
  <c r="AL1376" i="1" s="1"/>
  <c r="AK1375" i="1"/>
  <c r="AK1376" i="1" s="1"/>
  <c r="AJ1375" i="1"/>
  <c r="AJ1384" i="1" s="1"/>
  <c r="AI1375" i="1"/>
  <c r="AI1384" i="1" s="1"/>
  <c r="AH1375" i="1"/>
  <c r="AH1384" i="1" s="1"/>
  <c r="AG1375" i="1"/>
  <c r="AG1384" i="1" s="1"/>
  <c r="AF1375" i="1"/>
  <c r="AF1376" i="1" s="1"/>
  <c r="AE1375" i="1"/>
  <c r="AE1376" i="1" s="1"/>
  <c r="AD1375" i="1"/>
  <c r="AD1376" i="1" s="1"/>
  <c r="AC1375" i="1"/>
  <c r="AC1376" i="1" s="1"/>
  <c r="AB1375" i="1"/>
  <c r="AB1376" i="1" s="1"/>
  <c r="AA1375" i="1"/>
  <c r="AA1376" i="1" s="1"/>
  <c r="Z1375" i="1"/>
  <c r="Z1376" i="1" s="1"/>
  <c r="Y1375" i="1"/>
  <c r="Y1376" i="1" s="1"/>
  <c r="W1375" i="1"/>
  <c r="W1376" i="1" s="1"/>
  <c r="U1372" i="1"/>
  <c r="T1372" i="1"/>
  <c r="K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W1371" i="1"/>
  <c r="U1371" i="1"/>
  <c r="T1371" i="1"/>
  <c r="K1371" i="1"/>
  <c r="U1370" i="1"/>
  <c r="S1370" i="1"/>
  <c r="R1370" i="1"/>
  <c r="Q1370" i="1"/>
  <c r="K1370" i="1"/>
  <c r="AP1369" i="1"/>
  <c r="AP1370" i="1" s="1"/>
  <c r="AO1369" i="1"/>
  <c r="AO1370" i="1" s="1"/>
  <c r="AN1369" i="1"/>
  <c r="AN1370" i="1" s="1"/>
  <c r="AM1369" i="1"/>
  <c r="AM1370" i="1" s="1"/>
  <c r="AL1369" i="1"/>
  <c r="AL1370" i="1" s="1"/>
  <c r="AK1369" i="1"/>
  <c r="AK1370" i="1" s="1"/>
  <c r="AJ1369" i="1"/>
  <c r="AJ1370" i="1" s="1"/>
  <c r="AI1369" i="1"/>
  <c r="AI1370" i="1" s="1"/>
  <c r="AH1369" i="1"/>
  <c r="AH1370" i="1" s="1"/>
  <c r="AG1369" i="1"/>
  <c r="AG1370" i="1" s="1"/>
  <c r="AF1369" i="1"/>
  <c r="AF1370" i="1" s="1"/>
  <c r="AE1369" i="1"/>
  <c r="AE1370" i="1" s="1"/>
  <c r="AD1369" i="1"/>
  <c r="AD1370" i="1" s="1"/>
  <c r="AC1369" i="1"/>
  <c r="AC1370" i="1" s="1"/>
  <c r="AB1369" i="1"/>
  <c r="AB1370" i="1" s="1"/>
  <c r="AA1369" i="1"/>
  <c r="AA1370" i="1" s="1"/>
  <c r="Z1369" i="1"/>
  <c r="Z1370" i="1" s="1"/>
  <c r="Y1369" i="1"/>
  <c r="Y1370" i="1" s="1"/>
  <c r="W1369" i="1"/>
  <c r="U1367" i="1"/>
  <c r="S1367" i="1"/>
  <c r="R1367" i="1"/>
  <c r="Q1367" i="1"/>
  <c r="K1367" i="1"/>
  <c r="AP1366" i="1"/>
  <c r="AP1367" i="1" s="1"/>
  <c r="AO1366" i="1"/>
  <c r="AO1367" i="1" s="1"/>
  <c r="AN1366" i="1"/>
  <c r="AN1367" i="1" s="1"/>
  <c r="AM1366" i="1"/>
  <c r="AM1367" i="1" s="1"/>
  <c r="AL1366" i="1"/>
  <c r="AL1367" i="1" s="1"/>
  <c r="AK1366" i="1"/>
  <c r="AK1367" i="1" s="1"/>
  <c r="AJ1366" i="1"/>
  <c r="AJ1367" i="1" s="1"/>
  <c r="AI1366" i="1"/>
  <c r="AI1367" i="1" s="1"/>
  <c r="AH1366" i="1"/>
  <c r="AH1367" i="1" s="1"/>
  <c r="AG1366" i="1"/>
  <c r="AG1367" i="1" s="1"/>
  <c r="AF1366" i="1"/>
  <c r="AF1367" i="1" s="1"/>
  <c r="AE1366" i="1"/>
  <c r="AE1367" i="1" s="1"/>
  <c r="AD1366" i="1"/>
  <c r="AD1367" i="1" s="1"/>
  <c r="AC1366" i="1"/>
  <c r="AC1367" i="1" s="1"/>
  <c r="AB1366" i="1"/>
  <c r="AB1367" i="1" s="1"/>
  <c r="AA1366" i="1"/>
  <c r="AA1367" i="1" s="1"/>
  <c r="Z1366" i="1"/>
  <c r="Z1367" i="1" s="1"/>
  <c r="Y1366" i="1"/>
  <c r="Y1367" i="1" s="1"/>
  <c r="W1367" i="1"/>
  <c r="U1364" i="1"/>
  <c r="S1364" i="1"/>
  <c r="R1364" i="1"/>
  <c r="Q1364" i="1"/>
  <c r="K1364" i="1"/>
  <c r="AK1363" i="1"/>
  <c r="AK1364" i="1" s="1"/>
  <c r="AJ1363" i="1"/>
  <c r="AJ1364" i="1" s="1"/>
  <c r="AI1363" i="1"/>
  <c r="AI1364" i="1" s="1"/>
  <c r="AH1363" i="1"/>
  <c r="AH1364" i="1" s="1"/>
  <c r="AG1363" i="1"/>
  <c r="AG1364" i="1" s="1"/>
  <c r="AF1363" i="1"/>
  <c r="AF1364" i="1" s="1"/>
  <c r="AE1363" i="1"/>
  <c r="AE1364" i="1" s="1"/>
  <c r="AD1363" i="1"/>
  <c r="AD1364" i="1" s="1"/>
  <c r="AC1363" i="1"/>
  <c r="AC1364" i="1" s="1"/>
  <c r="AB1363" i="1"/>
  <c r="AB1364" i="1" s="1"/>
  <c r="AA1363" i="1"/>
  <c r="AA1364" i="1" s="1"/>
  <c r="Z1363" i="1"/>
  <c r="Z1364" i="1" s="1"/>
  <c r="Y1363" i="1"/>
  <c r="Y1364" i="1" s="1"/>
  <c r="W1364" i="1"/>
  <c r="U1361" i="1"/>
  <c r="S1361" i="1"/>
  <c r="R1361" i="1"/>
  <c r="Q1361" i="1"/>
  <c r="K1361" i="1"/>
  <c r="AK1360" i="1"/>
  <c r="AK1361" i="1" s="1"/>
  <c r="AJ1360" i="1"/>
  <c r="AJ1361" i="1" s="1"/>
  <c r="AI1360" i="1"/>
  <c r="AI1361" i="1" s="1"/>
  <c r="AH1360" i="1"/>
  <c r="AG1360" i="1"/>
  <c r="AG1361" i="1" s="1"/>
  <c r="AF1360" i="1"/>
  <c r="AF1361" i="1" s="1"/>
  <c r="AE1360" i="1"/>
  <c r="AE1361" i="1" s="1"/>
  <c r="AD1360" i="1"/>
  <c r="AD1361" i="1" s="1"/>
  <c r="AC1360" i="1"/>
  <c r="AC1361" i="1" s="1"/>
  <c r="AB1360" i="1"/>
  <c r="AB1361" i="1" s="1"/>
  <c r="AA1360" i="1"/>
  <c r="AA1361" i="1" s="1"/>
  <c r="Z1360" i="1"/>
  <c r="Z1361" i="1" s="1"/>
  <c r="Y1360" i="1"/>
  <c r="Y1361" i="1" s="1"/>
  <c r="W1360" i="1"/>
  <c r="W1361" i="1" s="1"/>
  <c r="U1358" i="1"/>
  <c r="S1358" i="1"/>
  <c r="R1358" i="1"/>
  <c r="Q1358" i="1"/>
  <c r="K1358" i="1"/>
  <c r="AP1357" i="1"/>
  <c r="AO1357" i="1"/>
  <c r="AN1357" i="1"/>
  <c r="AM1357" i="1"/>
  <c r="AM1358" i="1" s="1"/>
  <c r="AL1357" i="1"/>
  <c r="AL1358" i="1" s="1"/>
  <c r="AK1357" i="1"/>
  <c r="AK1358" i="1" s="1"/>
  <c r="AJ1357" i="1"/>
  <c r="AJ1358" i="1" s="1"/>
  <c r="AI1357" i="1"/>
  <c r="AI1358" i="1" s="1"/>
  <c r="AH1357" i="1"/>
  <c r="AH1358" i="1" s="1"/>
  <c r="AG1357" i="1"/>
  <c r="AF1357" i="1"/>
  <c r="AF1358" i="1" s="1"/>
  <c r="AE1357" i="1"/>
  <c r="AE1358" i="1" s="1"/>
  <c r="AD1357" i="1"/>
  <c r="AD1358" i="1" s="1"/>
  <c r="AC1357" i="1"/>
  <c r="AC1358" i="1" s="1"/>
  <c r="AB1357" i="1"/>
  <c r="AB1358" i="1" s="1"/>
  <c r="AA1357" i="1"/>
  <c r="AA1358" i="1" s="1"/>
  <c r="Z1357" i="1"/>
  <c r="Z1358" i="1" s="1"/>
  <c r="Y1357" i="1"/>
  <c r="W1357" i="1"/>
  <c r="T1354" i="1"/>
  <c r="K1354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W1353" i="1"/>
  <c r="T1353" i="1"/>
  <c r="K1353" i="1"/>
  <c r="U1352" i="1"/>
  <c r="S1352" i="1"/>
  <c r="R1352" i="1"/>
  <c r="P1352" i="1"/>
  <c r="K1352" i="1"/>
  <c r="AF1351" i="1"/>
  <c r="AF1352" i="1" s="1"/>
  <c r="AE1351" i="1"/>
  <c r="AE1352" i="1" s="1"/>
  <c r="AD1351" i="1"/>
  <c r="AD1352" i="1" s="1"/>
  <c r="AC1351" i="1"/>
  <c r="AC1352" i="1" s="1"/>
  <c r="AB1351" i="1"/>
  <c r="AB1352" i="1" s="1"/>
  <c r="AA1351" i="1"/>
  <c r="AA1352" i="1" s="1"/>
  <c r="Z1351" i="1"/>
  <c r="Z1352" i="1" s="1"/>
  <c r="Y1351" i="1"/>
  <c r="Y1352" i="1" s="1"/>
  <c r="W1351" i="1"/>
  <c r="U1349" i="1"/>
  <c r="S1349" i="1"/>
  <c r="R1349" i="1"/>
  <c r="P1349" i="1"/>
  <c r="K1349" i="1"/>
  <c r="AA1348" i="1"/>
  <c r="AA1349" i="1" s="1"/>
  <c r="Z1348" i="1"/>
  <c r="Z1349" i="1" s="1"/>
  <c r="Y1348" i="1"/>
  <c r="Y1349" i="1" s="1"/>
  <c r="W1348" i="1"/>
  <c r="W1349" i="1" s="1"/>
  <c r="U1346" i="1"/>
  <c r="S1346" i="1"/>
  <c r="R1346" i="1"/>
  <c r="P1346" i="1"/>
  <c r="K1346" i="1"/>
  <c r="AA1345" i="1"/>
  <c r="AA1346" i="1" s="1"/>
  <c r="Z1345" i="1"/>
  <c r="Z1346" i="1" s="1"/>
  <c r="Y1345" i="1"/>
  <c r="Y1346" i="1" s="1"/>
  <c r="W1345" i="1"/>
  <c r="W1346" i="1" s="1"/>
  <c r="U1343" i="1"/>
  <c r="S1343" i="1"/>
  <c r="R1343" i="1"/>
  <c r="P1343" i="1"/>
  <c r="K1343" i="1"/>
  <c r="AF1342" i="1"/>
  <c r="AF1343" i="1" s="1"/>
  <c r="AE1342" i="1"/>
  <c r="AE1343" i="1" s="1"/>
  <c r="AD1342" i="1"/>
  <c r="AD1343" i="1" s="1"/>
  <c r="AC1342" i="1"/>
  <c r="AB1342" i="1"/>
  <c r="AB1343" i="1" s="1"/>
  <c r="AA1342" i="1"/>
  <c r="AA1343" i="1" s="1"/>
  <c r="Z1342" i="1"/>
  <c r="Z1343" i="1" s="1"/>
  <c r="Y1342" i="1"/>
  <c r="Y1343" i="1" s="1"/>
  <c r="W1342" i="1"/>
  <c r="W1343" i="1" s="1"/>
  <c r="U1340" i="1"/>
  <c r="S1340" i="1"/>
  <c r="R1340" i="1"/>
  <c r="P1340" i="1"/>
  <c r="K1340" i="1"/>
  <c r="AA1339" i="1"/>
  <c r="AA1340" i="1" s="1"/>
  <c r="Z1339" i="1"/>
  <c r="Z1340" i="1" s="1"/>
  <c r="Y1339" i="1"/>
  <c r="Y1340" i="1" s="1"/>
  <c r="W1339" i="1"/>
  <c r="W1340" i="1" s="1"/>
  <c r="U1337" i="1"/>
  <c r="S1337" i="1"/>
  <c r="R1337" i="1"/>
  <c r="P1337" i="1"/>
  <c r="K1337" i="1"/>
  <c r="Y1336" i="1"/>
  <c r="Y1337" i="1" s="1"/>
  <c r="W1336" i="1"/>
  <c r="W1337" i="1" s="1"/>
  <c r="U1334" i="1"/>
  <c r="S1334" i="1"/>
  <c r="R1334" i="1"/>
  <c r="P1334" i="1"/>
  <c r="K1334" i="1"/>
  <c r="AA1333" i="1"/>
  <c r="AA1334" i="1" s="1"/>
  <c r="Z1333" i="1"/>
  <c r="Z1334" i="1" s="1"/>
  <c r="Y1333" i="1"/>
  <c r="Y1334" i="1" s="1"/>
  <c r="W1333" i="1"/>
  <c r="W1334" i="1" s="1"/>
  <c r="U1331" i="1"/>
  <c r="S1331" i="1"/>
  <c r="R1331" i="1"/>
  <c r="P1331" i="1"/>
  <c r="K1331" i="1"/>
  <c r="AE1330" i="1"/>
  <c r="AE1331" i="1" s="1"/>
  <c r="AD1330" i="1"/>
  <c r="AD1331" i="1" s="1"/>
  <c r="AC1330" i="1"/>
  <c r="AC1331" i="1" s="1"/>
  <c r="AB1330" i="1"/>
  <c r="AB1331" i="1" s="1"/>
  <c r="AA1330" i="1"/>
  <c r="AA1331" i="1" s="1"/>
  <c r="Z1330" i="1"/>
  <c r="Z1331" i="1" s="1"/>
  <c r="Y1330" i="1"/>
  <c r="Y1331" i="1" s="1"/>
  <c r="W1330" i="1"/>
  <c r="W1331" i="1" s="1"/>
  <c r="U1328" i="1"/>
  <c r="S1328" i="1"/>
  <c r="R1328" i="1"/>
  <c r="P1328" i="1"/>
  <c r="K1328" i="1"/>
  <c r="AF1327" i="1"/>
  <c r="AF1328" i="1" s="1"/>
  <c r="AE1327" i="1"/>
  <c r="AE1328" i="1" s="1"/>
  <c r="AD1327" i="1"/>
  <c r="AD1328" i="1" s="1"/>
  <c r="AC1327" i="1"/>
  <c r="AC1328" i="1" s="1"/>
  <c r="AB1327" i="1"/>
  <c r="AB1328" i="1" s="1"/>
  <c r="AA1327" i="1"/>
  <c r="AA1328" i="1" s="1"/>
  <c r="Z1327" i="1"/>
  <c r="Z1328" i="1" s="1"/>
  <c r="Y1327" i="1"/>
  <c r="Y1328" i="1" s="1"/>
  <c r="W1327" i="1"/>
  <c r="W1328" i="1" s="1"/>
  <c r="U1325" i="1"/>
  <c r="S1325" i="1"/>
  <c r="R1325" i="1"/>
  <c r="P1325" i="1"/>
  <c r="K1325" i="1"/>
  <c r="AF1324" i="1"/>
  <c r="AF1325" i="1" s="1"/>
  <c r="AE1324" i="1"/>
  <c r="AE1325" i="1" s="1"/>
  <c r="AD1324" i="1"/>
  <c r="AD1325" i="1" s="1"/>
  <c r="AC1324" i="1"/>
  <c r="AC1325" i="1" s="1"/>
  <c r="AB1324" i="1"/>
  <c r="AB1325" i="1" s="1"/>
  <c r="AA1324" i="1"/>
  <c r="AA1325" i="1" s="1"/>
  <c r="Z1324" i="1"/>
  <c r="Z1325" i="1" s="1"/>
  <c r="Y1324" i="1"/>
  <c r="Y1325" i="1" s="1"/>
  <c r="W1324" i="1"/>
  <c r="W1325" i="1" s="1"/>
  <c r="U1322" i="1"/>
  <c r="S1322" i="1"/>
  <c r="R1322" i="1"/>
  <c r="P1322" i="1"/>
  <c r="K1322" i="1"/>
  <c r="AF1321" i="1"/>
  <c r="AF1322" i="1" s="1"/>
  <c r="AE1321" i="1"/>
  <c r="AE1322" i="1" s="1"/>
  <c r="AD1321" i="1"/>
  <c r="AD1322" i="1" s="1"/>
  <c r="AC1321" i="1"/>
  <c r="AC1322" i="1" s="1"/>
  <c r="AB1321" i="1"/>
  <c r="AB1322" i="1" s="1"/>
  <c r="AA1321" i="1"/>
  <c r="AA1322" i="1" s="1"/>
  <c r="Z1321" i="1"/>
  <c r="Z1322" i="1" s="1"/>
  <c r="Y1321" i="1"/>
  <c r="Y1322" i="1" s="1"/>
  <c r="W1321" i="1"/>
  <c r="W1322" i="1" s="1"/>
  <c r="U1319" i="1"/>
  <c r="S1319" i="1"/>
  <c r="R1319" i="1"/>
  <c r="P1319" i="1"/>
  <c r="K1319" i="1"/>
  <c r="AA1318" i="1"/>
  <c r="AA1319" i="1" s="1"/>
  <c r="Z1318" i="1"/>
  <c r="Z1319" i="1" s="1"/>
  <c r="Y1318" i="1"/>
  <c r="Y1319" i="1" s="1"/>
  <c r="W1318" i="1"/>
  <c r="W1319" i="1" s="1"/>
  <c r="U1316" i="1"/>
  <c r="S1316" i="1"/>
  <c r="R1316" i="1"/>
  <c r="P1316" i="1"/>
  <c r="K1316" i="1"/>
  <c r="AP1315" i="1"/>
  <c r="AP1354" i="1" s="1"/>
  <c r="AO1315" i="1"/>
  <c r="AO1316" i="1" s="1"/>
  <c r="AN1315" i="1"/>
  <c r="AN1316" i="1" s="1"/>
  <c r="AM1315" i="1"/>
  <c r="AM1354" i="1" s="1"/>
  <c r="AL1315" i="1"/>
  <c r="AL1316" i="1" s="1"/>
  <c r="AK1315" i="1"/>
  <c r="AK1316" i="1" s="1"/>
  <c r="AJ1315" i="1"/>
  <c r="AJ1316" i="1" s="1"/>
  <c r="AI1315" i="1"/>
  <c r="AI1316" i="1" s="1"/>
  <c r="AH1315" i="1"/>
  <c r="AH1354" i="1" s="1"/>
  <c r="AG1315" i="1"/>
  <c r="AG1354" i="1" s="1"/>
  <c r="AF1315" i="1"/>
  <c r="AF1316" i="1" s="1"/>
  <c r="AE1315" i="1"/>
  <c r="AD1315" i="1"/>
  <c r="AD1316" i="1" s="1"/>
  <c r="AC1315" i="1"/>
  <c r="AC1316" i="1" s="1"/>
  <c r="AB1315" i="1"/>
  <c r="AB1316" i="1" s="1"/>
  <c r="AA1315" i="1"/>
  <c r="AA1316" i="1" s="1"/>
  <c r="Z1315" i="1"/>
  <c r="Y1315" i="1"/>
  <c r="Y1316" i="1" s="1"/>
  <c r="W1315" i="1"/>
  <c r="AQ1643" i="1" l="1"/>
  <c r="AM1316" i="1"/>
  <c r="AI1385" i="1"/>
  <c r="AJ1385" i="1"/>
  <c r="AA1386" i="1"/>
  <c r="W1370" i="1"/>
  <c r="W1372" i="1"/>
  <c r="W1373" i="1" s="1"/>
  <c r="W1379" i="1"/>
  <c r="W1384" i="1"/>
  <c r="W1385" i="1" s="1"/>
  <c r="T1385" i="1"/>
  <c r="W1352" i="1"/>
  <c r="W1354" i="1"/>
  <c r="W1355" i="1" s="1"/>
  <c r="AB1386" i="1"/>
  <c r="AJ1386" i="1"/>
  <c r="T1373" i="1"/>
  <c r="AN1385" i="1"/>
  <c r="AF1386" i="1"/>
  <c r="AN1386" i="1"/>
  <c r="AH1385" i="1"/>
  <c r="K1386" i="1"/>
  <c r="AC1386" i="1"/>
  <c r="AK1386" i="1"/>
  <c r="AI1354" i="1"/>
  <c r="AI1355" i="1" s="1"/>
  <c r="U1373" i="1"/>
  <c r="AG1385" i="1"/>
  <c r="AO1385" i="1"/>
  <c r="Z1386" i="1"/>
  <c r="AH1386" i="1"/>
  <c r="AP1386" i="1"/>
  <c r="AP1385" i="1"/>
  <c r="AP1372" i="1"/>
  <c r="K1355" i="1"/>
  <c r="AF1384" i="1"/>
  <c r="AF1385" i="1" s="1"/>
  <c r="T1355" i="1"/>
  <c r="AB1372" i="1"/>
  <c r="AB1373" i="1" s="1"/>
  <c r="AJ1372" i="1"/>
  <c r="AJ1373" i="1" s="1"/>
  <c r="AD1386" i="1"/>
  <c r="AL1386" i="1"/>
  <c r="AK1354" i="1"/>
  <c r="AK1355" i="1" s="1"/>
  <c r="AD1372" i="1"/>
  <c r="AD1373" i="1" s="1"/>
  <c r="AL1372" i="1"/>
  <c r="AL1373" i="1" s="1"/>
  <c r="AI1376" i="1"/>
  <c r="AB1384" i="1"/>
  <c r="AB1385" i="1" s="1"/>
  <c r="K1385" i="1"/>
  <c r="W1386" i="1"/>
  <c r="AE1386" i="1"/>
  <c r="AM1386" i="1"/>
  <c r="AE1372" i="1"/>
  <c r="AE1373" i="1" s="1"/>
  <c r="AM1372" i="1"/>
  <c r="AM1373" i="1" s="1"/>
  <c r="AP1358" i="1"/>
  <c r="AJ1376" i="1"/>
  <c r="AC1384" i="1"/>
  <c r="AC1385" i="1" s="1"/>
  <c r="Z1372" i="1"/>
  <c r="Z1373" i="1" s="1"/>
  <c r="Y1384" i="1"/>
  <c r="Y1385" i="1" s="1"/>
  <c r="AE1354" i="1"/>
  <c r="AE1355" i="1" s="1"/>
  <c r="W1316" i="1"/>
  <c r="Z1354" i="1"/>
  <c r="Z1355" i="1" s="1"/>
  <c r="AE1316" i="1"/>
  <c r="AC1354" i="1"/>
  <c r="AC1355" i="1" s="1"/>
  <c r="AN1372" i="1"/>
  <c r="W1358" i="1"/>
  <c r="K1373" i="1"/>
  <c r="AN1376" i="1"/>
  <c r="AD1384" i="1"/>
  <c r="AD1385" i="1" s="1"/>
  <c r="AH1372" i="1"/>
  <c r="AH1373" i="1" s="1"/>
  <c r="Z1384" i="1"/>
  <c r="Z1385" i="1" s="1"/>
  <c r="Y1386" i="1"/>
  <c r="AG1386" i="1"/>
  <c r="AO1386" i="1"/>
  <c r="Y1372" i="1"/>
  <c r="Y1373" i="1" s="1"/>
  <c r="AG1372" i="1"/>
  <c r="AG1373" i="1" s="1"/>
  <c r="AO1372" i="1"/>
  <c r="AH1361" i="1"/>
  <c r="AM1385" i="1"/>
  <c r="AE1384" i="1"/>
  <c r="AE1385" i="1" s="1"/>
  <c r="T1388" i="1"/>
  <c r="AP1355" i="1"/>
  <c r="AM1355" i="1"/>
  <c r="AG1355" i="1"/>
  <c r="AH1355" i="1"/>
  <c r="AG1316" i="1"/>
  <c r="AA1354" i="1"/>
  <c r="AN1358" i="1"/>
  <c r="Z1316" i="1"/>
  <c r="AH1316" i="1"/>
  <c r="AP1316" i="1"/>
  <c r="AC1343" i="1"/>
  <c r="AB1354" i="1"/>
  <c r="AJ1354" i="1"/>
  <c r="Y1358" i="1"/>
  <c r="AG1358" i="1"/>
  <c r="AO1358" i="1"/>
  <c r="AA1372" i="1"/>
  <c r="AA1373" i="1" s="1"/>
  <c r="AI1372" i="1"/>
  <c r="AI1373" i="1" s="1"/>
  <c r="AM1376" i="1"/>
  <c r="AB1379" i="1"/>
  <c r="AA1384" i="1"/>
  <c r="AA1385" i="1" s="1"/>
  <c r="AD1354" i="1"/>
  <c r="AL1354" i="1"/>
  <c r="AC1372" i="1"/>
  <c r="AC1373" i="1" s="1"/>
  <c r="AK1372" i="1"/>
  <c r="AK1373" i="1" s="1"/>
  <c r="AG1376" i="1"/>
  <c r="AO1376" i="1"/>
  <c r="AK1384" i="1"/>
  <c r="AK1385" i="1" s="1"/>
  <c r="AH1376" i="1"/>
  <c r="AP1376" i="1"/>
  <c r="AE1379" i="1"/>
  <c r="AL1384" i="1"/>
  <c r="AL1385" i="1" s="1"/>
  <c r="AF1354" i="1"/>
  <c r="AN1354" i="1"/>
  <c r="AF1379" i="1"/>
  <c r="AI1386" i="1"/>
  <c r="K1387" i="1"/>
  <c r="Y1354" i="1"/>
  <c r="AO1354" i="1"/>
  <c r="AF1372" i="1"/>
  <c r="AF1373" i="1" s="1"/>
  <c r="Y1379" i="1"/>
  <c r="AP1727" i="1" l="1"/>
  <c r="AP1686" i="1"/>
  <c r="K1388" i="1"/>
  <c r="W1387" i="1"/>
  <c r="W1388" i="1" s="1"/>
  <c r="AP1684" i="1"/>
  <c r="AO1373" i="1"/>
  <c r="AN1373" i="1"/>
  <c r="AP1373" i="1"/>
  <c r="AP1661" i="1"/>
  <c r="AM1387" i="1"/>
  <c r="AM1388" i="1" s="1"/>
  <c r="AH1387" i="1"/>
  <c r="AH1388" i="1" s="1"/>
  <c r="AP1387" i="1"/>
  <c r="AP1388" i="1" s="1"/>
  <c r="Z1387" i="1"/>
  <c r="Z1388" i="1" s="1"/>
  <c r="AG1387" i="1"/>
  <c r="AG1388" i="1" s="1"/>
  <c r="AC1387" i="1"/>
  <c r="AC1388" i="1" s="1"/>
  <c r="AE1387" i="1"/>
  <c r="AE1388" i="1" s="1"/>
  <c r="AJ1355" i="1"/>
  <c r="AJ1387" i="1"/>
  <c r="AJ1388" i="1" s="1"/>
  <c r="AN1387" i="1"/>
  <c r="AN1388" i="1" s="1"/>
  <c r="AN1355" i="1"/>
  <c r="AB1355" i="1"/>
  <c r="AB1387" i="1"/>
  <c r="AB1388" i="1" s="1"/>
  <c r="AO1355" i="1"/>
  <c r="AO1387" i="1"/>
  <c r="AO1388" i="1" s="1"/>
  <c r="AF1387" i="1"/>
  <c r="AF1388" i="1" s="1"/>
  <c r="AF1355" i="1"/>
  <c r="AK1387" i="1"/>
  <c r="AK1388" i="1" s="1"/>
  <c r="AL1387" i="1"/>
  <c r="AL1388" i="1" s="1"/>
  <c r="AL1355" i="1"/>
  <c r="Y1355" i="1"/>
  <c r="Y1387" i="1"/>
  <c r="Y1388" i="1" s="1"/>
  <c r="AD1387" i="1"/>
  <c r="AD1388" i="1" s="1"/>
  <c r="AD1355" i="1"/>
  <c r="AA1355" i="1"/>
  <c r="AA1387" i="1"/>
  <c r="AA1388" i="1" s="1"/>
  <c r="AI1387" i="1"/>
  <c r="AI1388" i="1" s="1"/>
  <c r="AI1426" i="1" l="1"/>
  <c r="AE1426" i="1"/>
  <c r="AL1426" i="1"/>
  <c r="AK1426" i="1"/>
  <c r="AC1426" i="1"/>
  <c r="AG1426" i="1"/>
  <c r="AO1426" i="1"/>
  <c r="AA1426" i="1"/>
  <c r="AN1426" i="1"/>
  <c r="AF1426" i="1"/>
  <c r="AB1426" i="1"/>
  <c r="AM1426" i="1"/>
  <c r="Y1426" i="1"/>
  <c r="AJ1426" i="1"/>
  <c r="Z1426" i="1"/>
  <c r="AP1426" i="1"/>
  <c r="AH1426" i="1"/>
  <c r="AD1426" i="1"/>
  <c r="AP1653" i="1" l="1"/>
  <c r="U1406" i="1"/>
  <c r="T1406" i="1"/>
  <c r="U1405" i="1"/>
  <c r="T1405" i="1"/>
  <c r="T1400" i="1"/>
  <c r="T1399" i="1"/>
  <c r="T1424" i="1"/>
  <c r="T1423" i="1"/>
  <c r="T1427" i="1"/>
  <c r="T1426" i="1"/>
  <c r="U1404" i="1"/>
  <c r="S1404" i="1"/>
  <c r="R1404" i="1"/>
  <c r="Q1404" i="1"/>
  <c r="K1404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U1422" i="1"/>
  <c r="S1422" i="1"/>
  <c r="R1422" i="1"/>
  <c r="P1422" i="1"/>
  <c r="K1422" i="1"/>
  <c r="U1419" i="1"/>
  <c r="S1419" i="1"/>
  <c r="R1419" i="1"/>
  <c r="P1419" i="1"/>
  <c r="K1419" i="1"/>
  <c r="AA1419" i="1"/>
  <c r="Z1419" i="1"/>
  <c r="Y1419" i="1"/>
  <c r="U1398" i="1"/>
  <c r="S1398" i="1"/>
  <c r="R1398" i="1"/>
  <c r="P1398" i="1"/>
  <c r="K1398" i="1"/>
  <c r="AB1398" i="1"/>
  <c r="AA1398" i="1"/>
  <c r="Z1398" i="1"/>
  <c r="Y1398" i="1"/>
  <c r="U1395" i="1"/>
  <c r="S1395" i="1"/>
  <c r="R1395" i="1"/>
  <c r="P1395" i="1"/>
  <c r="K1395" i="1"/>
  <c r="AA1395" i="1"/>
  <c r="Z1395" i="1"/>
  <c r="Y1395" i="1"/>
  <c r="U1392" i="1"/>
  <c r="S1392" i="1"/>
  <c r="R1392" i="1"/>
  <c r="P1392" i="1"/>
  <c r="K1392" i="1"/>
  <c r="U1416" i="1"/>
  <c r="S1416" i="1"/>
  <c r="R1416" i="1"/>
  <c r="P1416" i="1"/>
  <c r="K1416" i="1"/>
  <c r="AB1416" i="1"/>
  <c r="AA1416" i="1"/>
  <c r="Z1416" i="1"/>
  <c r="Y1416" i="1"/>
  <c r="AG1425" i="1" l="1"/>
  <c r="AK1425" i="1"/>
  <c r="AO1425" i="1"/>
  <c r="AB1407" i="1"/>
  <c r="AF1407" i="1"/>
  <c r="AJ1407" i="1"/>
  <c r="AA1392" i="1"/>
  <c r="AE1392" i="1"/>
  <c r="AI1392" i="1"/>
  <c r="AE1425" i="1"/>
  <c r="AI1425" i="1"/>
  <c r="AM1425" i="1"/>
  <c r="Z1407" i="1"/>
  <c r="AD1407" i="1"/>
  <c r="AH1407" i="1"/>
  <c r="AL1407" i="1"/>
  <c r="Y1392" i="1"/>
  <c r="Y1401" i="1"/>
  <c r="AC1392" i="1"/>
  <c r="AG1392" i="1"/>
  <c r="AK1392" i="1"/>
  <c r="AC1425" i="1"/>
  <c r="Z1425" i="1"/>
  <c r="AJ1425" i="1"/>
  <c r="AN1425" i="1"/>
  <c r="AA1407" i="1"/>
  <c r="AE1407" i="1"/>
  <c r="AI1407" i="1"/>
  <c r="AM1407" i="1"/>
  <c r="Z1392" i="1"/>
  <c r="AD1392" i="1"/>
  <c r="AH1392" i="1"/>
  <c r="AL1392" i="1"/>
  <c r="AD1425" i="1"/>
  <c r="AA1425" i="1"/>
  <c r="AH1425" i="1"/>
  <c r="AL1425" i="1"/>
  <c r="Y1407" i="1"/>
  <c r="AC1407" i="1"/>
  <c r="AG1407" i="1"/>
  <c r="AK1407" i="1"/>
  <c r="AB1392" i="1"/>
  <c r="AF1392" i="1"/>
  <c r="AJ1392" i="1"/>
  <c r="AB1419" i="1"/>
  <c r="AB1425" i="1"/>
  <c r="AF1425" i="1"/>
  <c r="Y1425" i="1"/>
  <c r="T1425" i="1"/>
  <c r="T1407" i="1"/>
  <c r="K1401" i="1"/>
  <c r="K1407" i="1"/>
  <c r="U1407" i="1"/>
  <c r="T1401" i="1"/>
  <c r="K1425" i="1"/>
  <c r="K1428" i="1"/>
  <c r="T1428" i="1"/>
  <c r="AB1427" i="1" l="1"/>
  <c r="AB1401" i="1"/>
  <c r="AD1427" i="1"/>
  <c r="AD1401" i="1"/>
  <c r="AC1427" i="1"/>
  <c r="AC1401" i="1"/>
  <c r="AA1427" i="1"/>
  <c r="AA1401" i="1"/>
  <c r="AN1715" i="1"/>
  <c r="AN1407" i="1"/>
  <c r="AN1401" i="1"/>
  <c r="AN1427" i="1"/>
  <c r="AF1427" i="1"/>
  <c r="AF1401" i="1"/>
  <c r="AP1732" i="1"/>
  <c r="AP1425" i="1"/>
  <c r="AP1401" i="1"/>
  <c r="AP1693" i="1"/>
  <c r="AP1427" i="1"/>
  <c r="AH1401" i="1"/>
  <c r="AH1427" i="1"/>
  <c r="Z1427" i="1"/>
  <c r="Z1401" i="1"/>
  <c r="AO1427" i="1"/>
  <c r="AO1401" i="1"/>
  <c r="AG1427" i="1"/>
  <c r="AG1401" i="1"/>
  <c r="Y1427" i="1"/>
  <c r="AM1427" i="1"/>
  <c r="AM1401" i="1"/>
  <c r="AE1427" i="1"/>
  <c r="AE1401" i="1"/>
  <c r="AJ1401" i="1"/>
  <c r="AJ1427" i="1"/>
  <c r="AO1715" i="1"/>
  <c r="AO1407" i="1"/>
  <c r="AL1401" i="1"/>
  <c r="AL1427" i="1"/>
  <c r="AK1427" i="1"/>
  <c r="AK1401" i="1"/>
  <c r="AP1715" i="1"/>
  <c r="AP1407" i="1"/>
  <c r="AI1427" i="1"/>
  <c r="AI1401" i="1"/>
  <c r="AG1307" i="1"/>
  <c r="AH1307" i="1"/>
  <c r="AI1307" i="1"/>
  <c r="AJ1307" i="1"/>
  <c r="AK1307" i="1"/>
  <c r="AL1307" i="1"/>
  <c r="AM1307" i="1"/>
  <c r="AN1307" i="1"/>
  <c r="AO1307" i="1"/>
  <c r="AF1307" i="1"/>
  <c r="Y1307" i="1"/>
  <c r="Z1307" i="1"/>
  <c r="AA1307" i="1"/>
  <c r="AB1307" i="1"/>
  <c r="AC1307" i="1"/>
  <c r="AD1307" i="1"/>
  <c r="AE1307" i="1"/>
  <c r="W1307" i="1"/>
  <c r="V1307" i="1"/>
  <c r="K1308" i="1"/>
  <c r="K1307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W1299" i="1"/>
  <c r="V1299" i="1"/>
  <c r="W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V1305" i="1"/>
  <c r="AE1302" i="1"/>
  <c r="AD1302" i="1"/>
  <c r="AC1302" i="1"/>
  <c r="AB1302" i="1"/>
  <c r="AA1302" i="1"/>
  <c r="Z1302" i="1"/>
  <c r="Y1302" i="1"/>
  <c r="W1302" i="1"/>
  <c r="V1302" i="1"/>
  <c r="AL1295" i="1"/>
  <c r="AM1295" i="1"/>
  <c r="AN1295" i="1"/>
  <c r="AO1295" i="1"/>
  <c r="AK1295" i="1"/>
  <c r="AG1295" i="1"/>
  <c r="AH1295" i="1"/>
  <c r="AI1295" i="1"/>
  <c r="AJ1295" i="1"/>
  <c r="AF1295" i="1"/>
  <c r="AE1295" i="1"/>
  <c r="AB1295" i="1"/>
  <c r="AC1295" i="1"/>
  <c r="AD1295" i="1"/>
  <c r="AA1295" i="1"/>
  <c r="Y1295" i="1"/>
  <c r="Z1295" i="1"/>
  <c r="W1295" i="1"/>
  <c r="V1295" i="1"/>
  <c r="K1295" i="1"/>
  <c r="W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V1290" i="1"/>
  <c r="AD1287" i="1"/>
  <c r="AC1287" i="1"/>
  <c r="AB1287" i="1"/>
  <c r="AA1287" i="1"/>
  <c r="Z1287" i="1"/>
  <c r="Y1287" i="1"/>
  <c r="W1287" i="1"/>
  <c r="V1287" i="1"/>
  <c r="AO1686" i="1" l="1"/>
  <c r="AN1686" i="1"/>
  <c r="AP1734" i="1"/>
  <c r="V1308" i="1"/>
  <c r="AK1308" i="1"/>
  <c r="AK1309" i="1" s="1"/>
  <c r="AG1308" i="1"/>
  <c r="AG1309" i="1" s="1"/>
  <c r="AO1308" i="1"/>
  <c r="Y1428" i="1"/>
  <c r="AJ1428" i="1"/>
  <c r="AE1428" i="1"/>
  <c r="AP1643" i="1"/>
  <c r="AP1428" i="1"/>
  <c r="AA1428" i="1"/>
  <c r="AD1428" i="1"/>
  <c r="AL1428" i="1"/>
  <c r="AI1428" i="1"/>
  <c r="AG1428" i="1"/>
  <c r="Z1428" i="1"/>
  <c r="AF1428" i="1"/>
  <c r="AO1428" i="1"/>
  <c r="AK1428" i="1"/>
  <c r="AM1428" i="1"/>
  <c r="AH1428" i="1"/>
  <c r="AN1428" i="1"/>
  <c r="AC1428" i="1"/>
  <c r="AB1428" i="1"/>
  <c r="AH1310" i="1"/>
  <c r="Y1310" i="1"/>
  <c r="AF1308" i="1"/>
  <c r="AF1309" i="1" s="1"/>
  <c r="AD1310" i="1"/>
  <c r="AG1310" i="1"/>
  <c r="W1308" i="1"/>
  <c r="AM1310" i="1"/>
  <c r="Y1308" i="1"/>
  <c r="Y1309" i="1" s="1"/>
  <c r="AC1308" i="1"/>
  <c r="AC1309" i="1" s="1"/>
  <c r="AB1308" i="1"/>
  <c r="AB1309" i="1" s="1"/>
  <c r="V1310" i="1"/>
  <c r="AA1308" i="1"/>
  <c r="AA1309" i="1" s="1"/>
  <c r="AE1308" i="1"/>
  <c r="AE1309" i="1" s="1"/>
  <c r="AH1308" i="1"/>
  <c r="AH1309" i="1" s="1"/>
  <c r="AL1308" i="1"/>
  <c r="AL1309" i="1" s="1"/>
  <c r="Z1310" i="1"/>
  <c r="AK1310" i="1"/>
  <c r="Z1308" i="1"/>
  <c r="Z1309" i="1" s="1"/>
  <c r="AD1308" i="1"/>
  <c r="AD1309" i="1" s="1"/>
  <c r="AI1310" i="1"/>
  <c r="AI1308" i="1"/>
  <c r="AI1309" i="1" s="1"/>
  <c r="AM1308" i="1"/>
  <c r="AO1310" i="1"/>
  <c r="AB1310" i="1"/>
  <c r="AC1310" i="1"/>
  <c r="AL1310" i="1"/>
  <c r="AJ1308" i="1"/>
  <c r="AN1308" i="1"/>
  <c r="W1310" i="1"/>
  <c r="AN1310" i="1"/>
  <c r="AE1310" i="1"/>
  <c r="AA1310" i="1"/>
  <c r="AF1310" i="1"/>
  <c r="AJ1310" i="1"/>
  <c r="AJ1284" i="1"/>
  <c r="AJ1285" i="1" s="1"/>
  <c r="AI1284" i="1"/>
  <c r="AI1285" i="1" s="1"/>
  <c r="AH1284" i="1"/>
  <c r="AH1285" i="1" s="1"/>
  <c r="AG1284" i="1"/>
  <c r="AG1285" i="1" s="1"/>
  <c r="AF1284" i="1"/>
  <c r="AF1285" i="1" s="1"/>
  <c r="AE1284" i="1"/>
  <c r="AE1285" i="1" s="1"/>
  <c r="AD1284" i="1"/>
  <c r="AD1285" i="1" s="1"/>
  <c r="AC1284" i="1"/>
  <c r="AC1285" i="1" s="1"/>
  <c r="AB1284" i="1"/>
  <c r="AB1285" i="1" s="1"/>
  <c r="AA1284" i="1"/>
  <c r="AA1285" i="1" s="1"/>
  <c r="Z1284" i="1"/>
  <c r="Z1285" i="1" s="1"/>
  <c r="Y1284" i="1"/>
  <c r="Y1285" i="1" s="1"/>
  <c r="W1284" i="1"/>
  <c r="W1285" i="1" s="1"/>
  <c r="V1284" i="1"/>
  <c r="V1285" i="1" s="1"/>
  <c r="AJ1281" i="1"/>
  <c r="AJ1282" i="1" s="1"/>
  <c r="AI1281" i="1"/>
  <c r="AI1282" i="1" s="1"/>
  <c r="AH1281" i="1"/>
  <c r="AH1282" i="1" s="1"/>
  <c r="AG1281" i="1"/>
  <c r="AG1282" i="1" s="1"/>
  <c r="AF1281" i="1"/>
  <c r="AF1282" i="1" s="1"/>
  <c r="AE1281" i="1"/>
  <c r="AE1282" i="1" s="1"/>
  <c r="AD1281" i="1"/>
  <c r="AD1282" i="1" s="1"/>
  <c r="AC1281" i="1"/>
  <c r="AC1282" i="1" s="1"/>
  <c r="AB1281" i="1"/>
  <c r="AB1282" i="1" s="1"/>
  <c r="AA1281" i="1"/>
  <c r="AA1282" i="1" s="1"/>
  <c r="Z1281" i="1"/>
  <c r="Z1282" i="1" s="1"/>
  <c r="Y1281" i="1"/>
  <c r="Y1282" i="1" s="1"/>
  <c r="W1281" i="1"/>
  <c r="W1282" i="1" s="1"/>
  <c r="V1281" i="1"/>
  <c r="V1282" i="1" s="1"/>
  <c r="AJ1293" i="1"/>
  <c r="AI1293" i="1"/>
  <c r="AI1294" i="1" s="1"/>
  <c r="AH1293" i="1"/>
  <c r="AG1293" i="1"/>
  <c r="AF1293" i="1"/>
  <c r="AE1293" i="1"/>
  <c r="AE1294" i="1" s="1"/>
  <c r="AD1293" i="1"/>
  <c r="AC1293" i="1"/>
  <c r="AC1294" i="1" s="1"/>
  <c r="AB1293" i="1"/>
  <c r="AB1294" i="1" s="1"/>
  <c r="AA1293" i="1"/>
  <c r="AA1294" i="1" s="1"/>
  <c r="Z1293" i="1"/>
  <c r="Y1293" i="1"/>
  <c r="Y1294" i="1" s="1"/>
  <c r="W1293" i="1"/>
  <c r="V1293" i="1"/>
  <c r="V1294" i="1" s="1"/>
  <c r="AE1278" i="1"/>
  <c r="AE1279" i="1" s="1"/>
  <c r="AD1278" i="1"/>
  <c r="AD1279" i="1" s="1"/>
  <c r="AC1278" i="1"/>
  <c r="AC1279" i="1" s="1"/>
  <c r="AB1278" i="1"/>
  <c r="AB1279" i="1" s="1"/>
  <c r="AA1278" i="1"/>
  <c r="AA1279" i="1" s="1"/>
  <c r="Z1278" i="1"/>
  <c r="Z1279" i="1" s="1"/>
  <c r="Y1278" i="1"/>
  <c r="Y1279" i="1" s="1"/>
  <c r="W1278" i="1"/>
  <c r="W1279" i="1" s="1"/>
  <c r="V1278" i="1"/>
  <c r="V1279" i="1" s="1"/>
  <c r="AE1275" i="1"/>
  <c r="AE1276" i="1" s="1"/>
  <c r="AD1275" i="1"/>
  <c r="AD1276" i="1" s="1"/>
  <c r="AC1275" i="1"/>
  <c r="AC1276" i="1" s="1"/>
  <c r="AB1275" i="1"/>
  <c r="AB1276" i="1" s="1"/>
  <c r="AA1275" i="1"/>
  <c r="AA1276" i="1" s="1"/>
  <c r="Z1275" i="1"/>
  <c r="Z1276" i="1" s="1"/>
  <c r="Y1275" i="1"/>
  <c r="Y1276" i="1" s="1"/>
  <c r="W1275" i="1"/>
  <c r="W1276" i="1" s="1"/>
  <c r="V1275" i="1"/>
  <c r="V1276" i="1" s="1"/>
  <c r="AE1272" i="1"/>
  <c r="AE1273" i="1" s="1"/>
  <c r="AD1272" i="1"/>
  <c r="AD1273" i="1" s="1"/>
  <c r="AC1272" i="1"/>
  <c r="AC1273" i="1" s="1"/>
  <c r="AB1272" i="1"/>
  <c r="AB1273" i="1" s="1"/>
  <c r="AA1272" i="1"/>
  <c r="AA1273" i="1" s="1"/>
  <c r="Z1272" i="1"/>
  <c r="Z1273" i="1" s="1"/>
  <c r="Y1272" i="1"/>
  <c r="Y1273" i="1" s="1"/>
  <c r="W1272" i="1"/>
  <c r="W1273" i="1" s="1"/>
  <c r="V1272" i="1"/>
  <c r="V1273" i="1" s="1"/>
  <c r="AO1269" i="1"/>
  <c r="AO1270" i="1" s="1"/>
  <c r="AN1269" i="1"/>
  <c r="AN1270" i="1" s="1"/>
  <c r="AM1269" i="1"/>
  <c r="AM1296" i="1" s="1"/>
  <c r="AL1269" i="1"/>
  <c r="AL1270" i="1" s="1"/>
  <c r="AK1269" i="1"/>
  <c r="AJ1269" i="1"/>
  <c r="AJ1270" i="1" s="1"/>
  <c r="AI1269" i="1"/>
  <c r="AI1270" i="1" s="1"/>
  <c r="AH1269" i="1"/>
  <c r="AH1270" i="1" s="1"/>
  <c r="AG1269" i="1"/>
  <c r="AG1270" i="1" s="1"/>
  <c r="AF1269" i="1"/>
  <c r="AF1270" i="1" s="1"/>
  <c r="AE1269" i="1"/>
  <c r="AE1270" i="1" s="1"/>
  <c r="AD1269" i="1"/>
  <c r="AD1270" i="1" s="1"/>
  <c r="AC1269" i="1"/>
  <c r="AC1270" i="1" s="1"/>
  <c r="AB1269" i="1"/>
  <c r="AB1270" i="1" s="1"/>
  <c r="AA1269" i="1"/>
  <c r="AA1270" i="1" s="1"/>
  <c r="Z1269" i="1"/>
  <c r="Z1270" i="1" s="1"/>
  <c r="Y1269" i="1"/>
  <c r="Y1270" i="1" s="1"/>
  <c r="W1269" i="1"/>
  <c r="W1270" i="1" s="1"/>
  <c r="V1269" i="1"/>
  <c r="V1270" i="1" s="1"/>
  <c r="Z1266" i="1"/>
  <c r="Y1266" i="1"/>
  <c r="W1266" i="1"/>
  <c r="V1266" i="1"/>
  <c r="K1296" i="1"/>
  <c r="K1294" i="1"/>
  <c r="P1294" i="1"/>
  <c r="R1294" i="1"/>
  <c r="S1294" i="1"/>
  <c r="K1291" i="1"/>
  <c r="P1291" i="1"/>
  <c r="R1291" i="1"/>
  <c r="S1291" i="1"/>
  <c r="V1291" i="1"/>
  <c r="W1291" i="1"/>
  <c r="Y1291" i="1"/>
  <c r="Z1291" i="1"/>
  <c r="AA1291" i="1"/>
  <c r="AB1291" i="1"/>
  <c r="AC1291" i="1"/>
  <c r="AD1291" i="1"/>
  <c r="AE1291" i="1"/>
  <c r="AF1291" i="1"/>
  <c r="AG1291" i="1"/>
  <c r="AH1291" i="1"/>
  <c r="AI1291" i="1"/>
  <c r="AJ1291" i="1"/>
  <c r="AK1291" i="1"/>
  <c r="AL1291" i="1"/>
  <c r="AM1291" i="1"/>
  <c r="AN1291" i="1"/>
  <c r="AO1291" i="1"/>
  <c r="K1306" i="1"/>
  <c r="P1306" i="1"/>
  <c r="R1306" i="1"/>
  <c r="S1306" i="1"/>
  <c r="V1306" i="1"/>
  <c r="W1306" i="1"/>
  <c r="Y1306" i="1"/>
  <c r="Z1306" i="1"/>
  <c r="AA1306" i="1"/>
  <c r="AB1306" i="1"/>
  <c r="AC1306" i="1"/>
  <c r="AD1306" i="1"/>
  <c r="AE1306" i="1"/>
  <c r="AF1306" i="1"/>
  <c r="AG1306" i="1"/>
  <c r="AH1306" i="1"/>
  <c r="AI1306" i="1"/>
  <c r="AJ1306" i="1"/>
  <c r="AK1306" i="1"/>
  <c r="AL1306" i="1"/>
  <c r="AM1306" i="1"/>
  <c r="AN1306" i="1"/>
  <c r="AO1306" i="1"/>
  <c r="K1303" i="1"/>
  <c r="P1303" i="1"/>
  <c r="R1303" i="1"/>
  <c r="S1303" i="1"/>
  <c r="V1303" i="1"/>
  <c r="W1303" i="1"/>
  <c r="Y1303" i="1"/>
  <c r="Z1303" i="1"/>
  <c r="AA1303" i="1"/>
  <c r="AB1303" i="1"/>
  <c r="AC1303" i="1"/>
  <c r="AD1303" i="1"/>
  <c r="AE1303" i="1"/>
  <c r="K1288" i="1"/>
  <c r="P1288" i="1"/>
  <c r="R1288" i="1"/>
  <c r="S1288" i="1"/>
  <c r="V1288" i="1"/>
  <c r="W1288" i="1"/>
  <c r="Y1288" i="1"/>
  <c r="Z1288" i="1"/>
  <c r="AA1288" i="1"/>
  <c r="AB1288" i="1"/>
  <c r="AC1288" i="1"/>
  <c r="AD1288" i="1"/>
  <c r="K1285" i="1"/>
  <c r="P1285" i="1"/>
  <c r="R1285" i="1"/>
  <c r="S1285" i="1"/>
  <c r="K1282" i="1"/>
  <c r="P1282" i="1"/>
  <c r="R1282" i="1"/>
  <c r="S1282" i="1"/>
  <c r="K1279" i="1"/>
  <c r="P1279" i="1"/>
  <c r="R1279" i="1"/>
  <c r="S1279" i="1"/>
  <c r="K1276" i="1"/>
  <c r="P1276" i="1"/>
  <c r="R1276" i="1"/>
  <c r="S1276" i="1"/>
  <c r="K1273" i="1"/>
  <c r="P1273" i="1"/>
  <c r="R1273" i="1"/>
  <c r="S1273" i="1"/>
  <c r="K1270" i="1"/>
  <c r="P1270" i="1"/>
  <c r="R1270" i="1"/>
  <c r="S1270" i="1"/>
  <c r="AM1693" i="1" l="1"/>
  <c r="AO1653" i="1"/>
  <c r="AN1653" i="1"/>
  <c r="AN1727" i="1"/>
  <c r="AN1732" i="1" s="1"/>
  <c r="AN1684" i="1"/>
  <c r="AO1727" i="1"/>
  <c r="AO1732" i="1" s="1"/>
  <c r="AO1684" i="1"/>
  <c r="AO1309" i="1"/>
  <c r="AN1309" i="1"/>
  <c r="AM1270" i="1"/>
  <c r="AM1297" i="1"/>
  <c r="AB1296" i="1"/>
  <c r="AF1294" i="1"/>
  <c r="AF1296" i="1"/>
  <c r="AJ1294" i="1"/>
  <c r="AJ1296" i="1"/>
  <c r="AJ1297" i="1" s="1"/>
  <c r="AL1296" i="1"/>
  <c r="AK1270" i="1"/>
  <c r="AK1296" i="1"/>
  <c r="Y1296" i="1"/>
  <c r="AC1296" i="1"/>
  <c r="AG1294" i="1"/>
  <c r="AG1296" i="1"/>
  <c r="AO1296" i="1"/>
  <c r="V1296" i="1"/>
  <c r="V1311" i="1" s="1"/>
  <c r="Z1294" i="1"/>
  <c r="Z1296" i="1"/>
  <c r="Z1297" i="1" s="1"/>
  <c r="AD1294" i="1"/>
  <c r="AD1296" i="1"/>
  <c r="AH1294" i="1"/>
  <c r="AH1296" i="1"/>
  <c r="AM1311" i="1"/>
  <c r="AM1309" i="1"/>
  <c r="AN1296" i="1"/>
  <c r="W1294" i="1"/>
  <c r="W1296" i="1"/>
  <c r="AA1296" i="1"/>
  <c r="AE1296" i="1"/>
  <c r="AI1296" i="1"/>
  <c r="AI1297" i="1" s="1"/>
  <c r="AJ1309" i="1"/>
  <c r="K1300" i="1"/>
  <c r="P1300" i="1"/>
  <c r="R1300" i="1"/>
  <c r="S1300" i="1"/>
  <c r="V1300" i="1"/>
  <c r="W1300" i="1"/>
  <c r="Y1300" i="1"/>
  <c r="Z1300" i="1"/>
  <c r="AA1300" i="1"/>
  <c r="AB1300" i="1"/>
  <c r="AC1300" i="1"/>
  <c r="AD1300" i="1"/>
  <c r="AE1300" i="1"/>
  <c r="AF1300" i="1"/>
  <c r="AG1300" i="1"/>
  <c r="AH1300" i="1"/>
  <c r="AI1300" i="1"/>
  <c r="AJ1300" i="1"/>
  <c r="AK1300" i="1"/>
  <c r="AL1300" i="1"/>
  <c r="AM1300" i="1"/>
  <c r="AN1300" i="1"/>
  <c r="AO1300" i="1"/>
  <c r="K1267" i="1"/>
  <c r="P1267" i="1"/>
  <c r="R1267" i="1"/>
  <c r="S1267" i="1"/>
  <c r="V1267" i="1"/>
  <c r="W1267" i="1"/>
  <c r="Y1267" i="1"/>
  <c r="Z1267" i="1"/>
  <c r="T1307" i="1"/>
  <c r="T1308" i="1"/>
  <c r="K1311" i="1"/>
  <c r="T1295" i="1"/>
  <c r="K1310" i="1"/>
  <c r="AO1693" i="1" l="1"/>
  <c r="AO1734" i="1" s="1"/>
  <c r="AN1693" i="1"/>
  <c r="AN1734" i="1" s="1"/>
  <c r="AM1661" i="1"/>
  <c r="Z1311" i="1"/>
  <c r="AJ1311" i="1"/>
  <c r="AN1311" i="1"/>
  <c r="W1297" i="1"/>
  <c r="W1311" i="1"/>
  <c r="AG1297" i="1"/>
  <c r="AG1311" i="1"/>
  <c r="AK1311" i="1"/>
  <c r="AK1297" i="1"/>
  <c r="AD1297" i="1"/>
  <c r="AD1311" i="1"/>
  <c r="AF1297" i="1"/>
  <c r="AF1311" i="1"/>
  <c r="AI1311" i="1"/>
  <c r="AE1297" i="1"/>
  <c r="AE1311" i="1"/>
  <c r="AM1312" i="1"/>
  <c r="AC1297" i="1"/>
  <c r="AC1311" i="1"/>
  <c r="AL1297" i="1"/>
  <c r="AL1311" i="1"/>
  <c r="AA1297" i="1"/>
  <c r="AA1311" i="1"/>
  <c r="AN1297" i="1"/>
  <c r="AH1297" i="1"/>
  <c r="AH1311" i="1"/>
  <c r="AO1297" i="1"/>
  <c r="AO1311" i="1"/>
  <c r="Y1297" i="1"/>
  <c r="Y1311" i="1"/>
  <c r="AB1311" i="1"/>
  <c r="AB1297" i="1"/>
  <c r="K1309" i="1"/>
  <c r="T1310" i="1"/>
  <c r="K1297" i="1"/>
  <c r="T1296" i="1"/>
  <c r="T1297" i="1" s="1"/>
  <c r="V1297" i="1"/>
  <c r="T1309" i="1"/>
  <c r="AO1661" i="1" l="1"/>
  <c r="AN1661" i="1"/>
  <c r="Z1312" i="1"/>
  <c r="AJ1312" i="1"/>
  <c r="AN1643" i="1"/>
  <c r="AN1312" i="1"/>
  <c r="Y1312" i="1"/>
  <c r="AG1312" i="1"/>
  <c r="AH1312" i="1"/>
  <c r="AC1312" i="1"/>
  <c r="AE1312" i="1"/>
  <c r="AF1312" i="1"/>
  <c r="AO1312" i="1"/>
  <c r="AO1643" i="1"/>
  <c r="AA1312" i="1"/>
  <c r="AD1312" i="1"/>
  <c r="AB1312" i="1"/>
  <c r="AL1312" i="1"/>
  <c r="AI1312" i="1"/>
  <c r="AK1312" i="1"/>
  <c r="K1312" i="1"/>
  <c r="T1311" i="1"/>
  <c r="T1312" i="1" s="1"/>
  <c r="V1309" i="1"/>
  <c r="V1312" i="1"/>
  <c r="W1312" i="1"/>
  <c r="W1309" i="1"/>
  <c r="AM1256" i="1" l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W1256" i="1"/>
  <c r="V1256" i="1"/>
  <c r="U1256" i="1"/>
  <c r="T1256" i="1"/>
  <c r="N256" i="1" l="1"/>
  <c r="N257" i="1" s="1"/>
  <c r="K257" i="1"/>
  <c r="L257" i="1"/>
  <c r="M257" i="1"/>
  <c r="O257" i="1"/>
  <c r="N259" i="1"/>
  <c r="N260" i="1" s="1"/>
  <c r="O259" i="1"/>
  <c r="O260" i="1" s="1"/>
  <c r="K260" i="1"/>
  <c r="L260" i="1"/>
  <c r="M260" i="1"/>
  <c r="P260" i="1"/>
  <c r="N262" i="1"/>
  <c r="N263" i="1" s="1"/>
  <c r="O262" i="1"/>
  <c r="O263" i="1" s="1"/>
  <c r="K263" i="1"/>
  <c r="L263" i="1"/>
  <c r="M263" i="1"/>
  <c r="P263" i="1"/>
  <c r="K266" i="1"/>
  <c r="N268" i="1"/>
  <c r="O268" i="1"/>
  <c r="O269" i="1" s="1"/>
  <c r="P268" i="1"/>
  <c r="P269" i="1" s="1"/>
  <c r="Q268" i="1"/>
  <c r="Q269" i="1" s="1"/>
  <c r="R268" i="1"/>
  <c r="R269" i="1" s="1"/>
  <c r="K269" i="1"/>
  <c r="L269" i="1"/>
  <c r="M269" i="1"/>
  <c r="N269" i="1"/>
  <c r="S269" i="1"/>
  <c r="N271" i="1"/>
  <c r="N272" i="1" s="1"/>
  <c r="O271" i="1"/>
  <c r="O272" i="1" s="1"/>
  <c r="P271" i="1"/>
  <c r="P272" i="1" s="1"/>
  <c r="Q271" i="1"/>
  <c r="Q272" i="1" s="1"/>
  <c r="R271" i="1"/>
  <c r="R272" i="1" s="1"/>
  <c r="K272" i="1"/>
  <c r="L272" i="1"/>
  <c r="M272" i="1"/>
  <c r="S272" i="1"/>
  <c r="K273" i="1"/>
  <c r="L273" i="1"/>
  <c r="M273" i="1"/>
  <c r="N273" i="1"/>
  <c r="O273" i="1"/>
  <c r="P273" i="1"/>
  <c r="Q273" i="1"/>
  <c r="R273" i="1"/>
  <c r="S273" i="1"/>
  <c r="K274" i="1"/>
  <c r="L274" i="1"/>
  <c r="M274" i="1"/>
  <c r="S274" i="1"/>
  <c r="L275" i="1" l="1"/>
  <c r="P274" i="1"/>
  <c r="P275" i="1" s="1"/>
  <c r="O274" i="1"/>
  <c r="O275" i="1" s="1"/>
  <c r="Q274" i="1"/>
  <c r="Q275" i="1" s="1"/>
  <c r="R274" i="1"/>
  <c r="R275" i="1" s="1"/>
  <c r="N274" i="1"/>
  <c r="N275" i="1" s="1"/>
  <c r="K275" i="1"/>
  <c r="S275" i="1"/>
  <c r="M275" i="1"/>
  <c r="V1258" i="1"/>
  <c r="W1258" i="1"/>
  <c r="Y1258" i="1"/>
  <c r="Z1258" i="1"/>
  <c r="AA1258" i="1"/>
  <c r="AB1258" i="1"/>
  <c r="AC1258" i="1"/>
  <c r="AD1258" i="1"/>
  <c r="AE1258" i="1"/>
  <c r="AF1258" i="1"/>
  <c r="AG1258" i="1"/>
  <c r="AH1258" i="1"/>
  <c r="AI1258" i="1"/>
  <c r="AJ1258" i="1"/>
  <c r="AK1258" i="1"/>
  <c r="AL1258" i="1"/>
  <c r="AM1258" i="1"/>
  <c r="U1258" i="1"/>
  <c r="T1258" i="1"/>
  <c r="T1623" i="1" l="1"/>
  <c r="T1716" i="1" s="1"/>
  <c r="V1252" i="1" l="1"/>
  <c r="W1252" i="1"/>
  <c r="Y1252" i="1"/>
  <c r="Z1252" i="1"/>
  <c r="AA1252" i="1"/>
  <c r="AB1252" i="1"/>
  <c r="AC1252" i="1"/>
  <c r="AD1252" i="1"/>
  <c r="AE1252" i="1"/>
  <c r="AF1252" i="1"/>
  <c r="AG1252" i="1"/>
  <c r="AH1252" i="1"/>
  <c r="AI1252" i="1"/>
  <c r="AJ1252" i="1"/>
  <c r="AK1252" i="1"/>
  <c r="AL1252" i="1"/>
  <c r="AM1252" i="1"/>
  <c r="U1252" i="1"/>
  <c r="AM1250" i="1"/>
  <c r="AM1251" i="1" s="1"/>
  <c r="AL1250" i="1"/>
  <c r="AL1253" i="1" s="1"/>
  <c r="AK1250" i="1"/>
  <c r="AK1251" i="1" s="1"/>
  <c r="AJ1250" i="1"/>
  <c r="AJ1251" i="1" s="1"/>
  <c r="AI1250" i="1"/>
  <c r="AI1253" i="1" s="1"/>
  <c r="AH1250" i="1"/>
  <c r="AH1253" i="1" s="1"/>
  <c r="AG1250" i="1"/>
  <c r="AG1251" i="1" s="1"/>
  <c r="AF1250" i="1"/>
  <c r="AF1251" i="1" s="1"/>
  <c r="AE1250" i="1"/>
  <c r="AE1251" i="1" s="1"/>
  <c r="AD1250" i="1"/>
  <c r="AD1253" i="1" s="1"/>
  <c r="AC1250" i="1"/>
  <c r="AC1251" i="1" s="1"/>
  <c r="AB1250" i="1"/>
  <c r="AB1251" i="1" s="1"/>
  <c r="AA1250" i="1"/>
  <c r="AA1253" i="1" s="1"/>
  <c r="Z1250" i="1"/>
  <c r="Z1253" i="1" s="1"/>
  <c r="Y1250" i="1"/>
  <c r="Y1251" i="1" s="1"/>
  <c r="W1250" i="1"/>
  <c r="W1251" i="1" s="1"/>
  <c r="V1250" i="1"/>
  <c r="V1251" i="1" s="1"/>
  <c r="U1250" i="1"/>
  <c r="U1253" i="1" s="1"/>
  <c r="T1250" i="1"/>
  <c r="T1251" i="1" s="1"/>
  <c r="AI1259" i="1"/>
  <c r="AI1260" i="1" s="1"/>
  <c r="AJ1259" i="1"/>
  <c r="AJ1260" i="1" s="1"/>
  <c r="AK1259" i="1"/>
  <c r="AK1260" i="1" s="1"/>
  <c r="AM1259" i="1"/>
  <c r="AK1257" i="1"/>
  <c r="AM1257" i="1"/>
  <c r="U1257" i="1"/>
  <c r="AH1259" i="1"/>
  <c r="AH1260" i="1" s="1"/>
  <c r="AG1259" i="1"/>
  <c r="AG1260" i="1" s="1"/>
  <c r="AD1259" i="1"/>
  <c r="AD1260" i="1" s="1"/>
  <c r="AC1259" i="1"/>
  <c r="AC1260" i="1" s="1"/>
  <c r="Z1259" i="1"/>
  <c r="Z1260" i="1" s="1"/>
  <c r="Y1259" i="1"/>
  <c r="Y1260" i="1" s="1"/>
  <c r="V1259" i="1"/>
  <c r="V1260" i="1" s="1"/>
  <c r="U1259" i="1"/>
  <c r="U1260" i="1" s="1"/>
  <c r="AE1246" i="1"/>
  <c r="AF1246" i="1"/>
  <c r="AG1246" i="1"/>
  <c r="AH1246" i="1"/>
  <c r="AD1246" i="1"/>
  <c r="Z1246" i="1"/>
  <c r="AA1246" i="1"/>
  <c r="AB1246" i="1"/>
  <c r="AC1246" i="1"/>
  <c r="Y1246" i="1"/>
  <c r="U1246" i="1"/>
  <c r="V1246" i="1"/>
  <c r="W1246" i="1"/>
  <c r="W1244" i="1"/>
  <c r="W1245" i="1" s="1"/>
  <c r="V1244" i="1"/>
  <c r="V1245" i="1" s="1"/>
  <c r="U1244" i="1"/>
  <c r="U1245" i="1" s="1"/>
  <c r="T1244" i="1"/>
  <c r="T1245" i="1" s="1"/>
  <c r="AC1241" i="1"/>
  <c r="AC1242" i="1" s="1"/>
  <c r="AB1241" i="1"/>
  <c r="AB1242" i="1" s="1"/>
  <c r="AA1241" i="1"/>
  <c r="AA1242" i="1" s="1"/>
  <c r="Z1241" i="1"/>
  <c r="Z1242" i="1" s="1"/>
  <c r="Y1241" i="1"/>
  <c r="Y1242" i="1" s="1"/>
  <c r="W1241" i="1"/>
  <c r="W1242" i="1" s="1"/>
  <c r="V1241" i="1"/>
  <c r="V1242" i="1" s="1"/>
  <c r="U1241" i="1"/>
  <c r="U1242" i="1" s="1"/>
  <c r="T1241" i="1"/>
  <c r="T1242" i="1" s="1"/>
  <c r="AH1238" i="1"/>
  <c r="AH1239" i="1" s="1"/>
  <c r="AG1238" i="1"/>
  <c r="AG1239" i="1" s="1"/>
  <c r="AF1238" i="1"/>
  <c r="AF1239" i="1" s="1"/>
  <c r="AE1238" i="1"/>
  <c r="AD1238" i="1"/>
  <c r="AD1239" i="1" s="1"/>
  <c r="AC1238" i="1"/>
  <c r="AC1239" i="1" s="1"/>
  <c r="AB1238" i="1"/>
  <c r="AB1239" i="1" s="1"/>
  <c r="AA1238" i="1"/>
  <c r="AA1239" i="1" s="1"/>
  <c r="Z1238" i="1"/>
  <c r="Z1239" i="1" s="1"/>
  <c r="Y1238" i="1"/>
  <c r="Y1239" i="1" s="1"/>
  <c r="W1238" i="1"/>
  <c r="W1239" i="1" s="1"/>
  <c r="V1238" i="1"/>
  <c r="V1239" i="1" s="1"/>
  <c r="U1238" i="1"/>
  <c r="U1239" i="1" s="1"/>
  <c r="T1238" i="1"/>
  <c r="T1239" i="1" s="1"/>
  <c r="W1235" i="1"/>
  <c r="W1236" i="1" s="1"/>
  <c r="V1235" i="1"/>
  <c r="V1236" i="1" s="1"/>
  <c r="U1235" i="1"/>
  <c r="U1236" i="1" s="1"/>
  <c r="T1235" i="1"/>
  <c r="T1236" i="1" s="1"/>
  <c r="AH1232" i="1"/>
  <c r="AG1232" i="1"/>
  <c r="AG1233" i="1" s="1"/>
  <c r="AF1232" i="1"/>
  <c r="AF1233" i="1" s="1"/>
  <c r="AE1232" i="1"/>
  <c r="AE1233" i="1" s="1"/>
  <c r="AD1232" i="1"/>
  <c r="AD1233" i="1" s="1"/>
  <c r="AC1232" i="1"/>
  <c r="AC1233" i="1" s="1"/>
  <c r="AB1232" i="1"/>
  <c r="AA1232" i="1"/>
  <c r="AA1233" i="1" s="1"/>
  <c r="Z1232" i="1"/>
  <c r="Z1233" i="1" s="1"/>
  <c r="Y1232" i="1"/>
  <c r="Y1233" i="1" s="1"/>
  <c r="W1232" i="1"/>
  <c r="W1233" i="1" s="1"/>
  <c r="V1232" i="1"/>
  <c r="V1233" i="1" s="1"/>
  <c r="U1232" i="1"/>
  <c r="U1233" i="1" s="1"/>
  <c r="T1232" i="1"/>
  <c r="T1233" i="1" s="1"/>
  <c r="AG1229" i="1"/>
  <c r="AG1230" i="1" s="1"/>
  <c r="AH1229" i="1"/>
  <c r="AH1230" i="1" s="1"/>
  <c r="AF1229" i="1"/>
  <c r="AF1230" i="1" s="1"/>
  <c r="AE1229" i="1"/>
  <c r="AE1230" i="1" s="1"/>
  <c r="AD1229" i="1"/>
  <c r="AD1230" i="1" s="1"/>
  <c r="AC1229" i="1"/>
  <c r="AC1230" i="1" s="1"/>
  <c r="AB1229" i="1"/>
  <c r="AB1230" i="1" s="1"/>
  <c r="AA1229" i="1"/>
  <c r="AA1230" i="1" s="1"/>
  <c r="Z1229" i="1"/>
  <c r="Z1230" i="1" s="1"/>
  <c r="Y1229" i="1"/>
  <c r="Y1230" i="1" s="1"/>
  <c r="W1229" i="1"/>
  <c r="W1230" i="1" s="1"/>
  <c r="V1229" i="1"/>
  <c r="V1230" i="1" s="1"/>
  <c r="U1229" i="1"/>
  <c r="U1230" i="1" s="1"/>
  <c r="T1229" i="1"/>
  <c r="T1246" i="1"/>
  <c r="AM1684" i="1" l="1"/>
  <c r="AM1727" i="1"/>
  <c r="AM1732" i="1" s="1"/>
  <c r="AM1686" i="1"/>
  <c r="Z1251" i="1"/>
  <c r="AH1251" i="1"/>
  <c r="AL1251" i="1"/>
  <c r="AM1253" i="1"/>
  <c r="W1253" i="1"/>
  <c r="W1254" i="1" s="1"/>
  <c r="AA1251" i="1"/>
  <c r="AB1261" i="1"/>
  <c r="U1261" i="1"/>
  <c r="Y1253" i="1"/>
  <c r="Y1254" i="1" s="1"/>
  <c r="AG1253" i="1"/>
  <c r="AG1254" i="1" s="1"/>
  <c r="AE1253" i="1"/>
  <c r="AE1254" i="1" s="1"/>
  <c r="Y1261" i="1"/>
  <c r="AC1261" i="1"/>
  <c r="U1254" i="1"/>
  <c r="V1257" i="1"/>
  <c r="AI1251" i="1"/>
  <c r="AI1257" i="1"/>
  <c r="AK1253" i="1"/>
  <c r="AC1253" i="1"/>
  <c r="AC1254" i="1" s="1"/>
  <c r="AA1261" i="1"/>
  <c r="AD1257" i="1"/>
  <c r="AF1261" i="1"/>
  <c r="U1251" i="1"/>
  <c r="AC1257" i="1"/>
  <c r="AD1261" i="1"/>
  <c r="AB1233" i="1"/>
  <c r="AE1239" i="1"/>
  <c r="Y1257" i="1"/>
  <c r="AG1257" i="1"/>
  <c r="AG1261" i="1"/>
  <c r="AH1233" i="1"/>
  <c r="AD1251" i="1"/>
  <c r="Z1257" i="1"/>
  <c r="AH1257" i="1"/>
  <c r="AM1260" i="1"/>
  <c r="V1253" i="1"/>
  <c r="V1254" i="1" s="1"/>
  <c r="W1257" i="1"/>
  <c r="W1259" i="1"/>
  <c r="W1260" i="1" s="1"/>
  <c r="AA1257" i="1"/>
  <c r="AA1259" i="1"/>
  <c r="AA1260" i="1" s="1"/>
  <c r="AE1257" i="1"/>
  <c r="AE1259" i="1"/>
  <c r="AE1260" i="1" s="1"/>
  <c r="AL1257" i="1"/>
  <c r="AL1259" i="1"/>
  <c r="AL1260" i="1" s="1"/>
  <c r="T1257" i="1"/>
  <c r="T1259" i="1"/>
  <c r="AB1257" i="1"/>
  <c r="AB1259" i="1"/>
  <c r="AB1260" i="1" s="1"/>
  <c r="AF1257" i="1"/>
  <c r="AF1259" i="1"/>
  <c r="AJ1257" i="1"/>
  <c r="AJ1253" i="1"/>
  <c r="AF1253" i="1"/>
  <c r="AF1254" i="1" s="1"/>
  <c r="AB1253" i="1"/>
  <c r="AH1261" i="1"/>
  <c r="Z1261" i="1"/>
  <c r="V1261" i="1"/>
  <c r="AK1261" i="1"/>
  <c r="AI1254" i="1"/>
  <c r="AA1254" i="1"/>
  <c r="AL1254" i="1"/>
  <c r="AH1254" i="1"/>
  <c r="AD1254" i="1"/>
  <c r="Z1254" i="1"/>
  <c r="AJ1261" i="1"/>
  <c r="W1261" i="1"/>
  <c r="AE1261" i="1"/>
  <c r="AI1261" i="1"/>
  <c r="AM1261" i="1"/>
  <c r="AL1261" i="1"/>
  <c r="AI1262" i="1"/>
  <c r="AH1226" i="1"/>
  <c r="AH1227" i="1" s="1"/>
  <c r="AG1226" i="1"/>
  <c r="AG1247" i="1" s="1"/>
  <c r="AF1226" i="1"/>
  <c r="AF1227" i="1" s="1"/>
  <c r="AE1226" i="1"/>
  <c r="AE1227" i="1" s="1"/>
  <c r="AD1226" i="1"/>
  <c r="AC1226" i="1"/>
  <c r="AC1227" i="1" s="1"/>
  <c r="AB1226" i="1"/>
  <c r="AB1227" i="1" s="1"/>
  <c r="AA1226" i="1"/>
  <c r="AA1227" i="1" s="1"/>
  <c r="Z1226" i="1"/>
  <c r="Z1227" i="1" s="1"/>
  <c r="Y1226" i="1"/>
  <c r="W1226" i="1"/>
  <c r="W1227" i="1" s="1"/>
  <c r="V1226" i="1"/>
  <c r="V1227" i="1" s="1"/>
  <c r="U1226" i="1"/>
  <c r="T1226" i="1"/>
  <c r="W1223" i="1"/>
  <c r="W1224" i="1" s="1"/>
  <c r="V1223" i="1"/>
  <c r="V1224" i="1" s="1"/>
  <c r="U1223" i="1"/>
  <c r="U1224" i="1" s="1"/>
  <c r="T1223" i="1"/>
  <c r="T1224" i="1" s="1"/>
  <c r="T1220" i="1"/>
  <c r="T1221" i="1" s="1"/>
  <c r="W1220" i="1"/>
  <c r="V1220" i="1"/>
  <c r="V1221" i="1" s="1"/>
  <c r="U1220" i="1"/>
  <c r="U1221" i="1" s="1"/>
  <c r="W1217" i="1"/>
  <c r="W1218" i="1" s="1"/>
  <c r="V1217" i="1"/>
  <c r="V1218" i="1" s="1"/>
  <c r="U1217" i="1"/>
  <c r="U1218" i="1" s="1"/>
  <c r="T1217" i="1"/>
  <c r="T1218" i="1" s="1"/>
  <c r="W1214" i="1"/>
  <c r="W1215" i="1" s="1"/>
  <c r="V1214" i="1"/>
  <c r="V1215" i="1" s="1"/>
  <c r="U1214" i="1"/>
  <c r="U1215" i="1" s="1"/>
  <c r="T1214" i="1"/>
  <c r="W1211" i="1"/>
  <c r="W1212" i="1" s="1"/>
  <c r="V1211" i="1"/>
  <c r="V1212" i="1" s="1"/>
  <c r="U1211" i="1"/>
  <c r="U1212" i="1" s="1"/>
  <c r="T1211" i="1"/>
  <c r="W1208" i="1"/>
  <c r="W1209" i="1" s="1"/>
  <c r="V1208" i="1"/>
  <c r="V1209" i="1" s="1"/>
  <c r="U1208" i="1"/>
  <c r="U1209" i="1" s="1"/>
  <c r="T1208" i="1"/>
  <c r="AM1653" i="1" l="1"/>
  <c r="AM1715" i="1"/>
  <c r="AM1734" i="1" s="1"/>
  <c r="AM1262" i="1"/>
  <c r="AK1262" i="1"/>
  <c r="AM1254" i="1"/>
  <c r="AE1247" i="1"/>
  <c r="AE1248" i="1" s="1"/>
  <c r="AK1254" i="1"/>
  <c r="AF1247" i="1"/>
  <c r="AF1248" i="1" s="1"/>
  <c r="AI1263" i="1"/>
  <c r="AL1262" i="1"/>
  <c r="AG1248" i="1"/>
  <c r="AG1262" i="1"/>
  <c r="U1227" i="1"/>
  <c r="AD1227" i="1"/>
  <c r="AD1247" i="1"/>
  <c r="AH1247" i="1"/>
  <c r="W1221" i="1"/>
  <c r="AG1227" i="1"/>
  <c r="AB1254" i="1"/>
  <c r="AF1260" i="1"/>
  <c r="Y1227" i="1"/>
  <c r="AJ1262" i="1"/>
  <c r="AJ1254" i="1"/>
  <c r="AC1205" i="1"/>
  <c r="AC1206" i="1" s="1"/>
  <c r="AB1205" i="1"/>
  <c r="AB1247" i="1" s="1"/>
  <c r="AA1205" i="1"/>
  <c r="AA1206" i="1" s="1"/>
  <c r="Z1205" i="1"/>
  <c r="Z1247" i="1" s="1"/>
  <c r="Y1205" i="1"/>
  <c r="Y1206" i="1" s="1"/>
  <c r="W1205" i="1"/>
  <c r="W1206" i="1" s="1"/>
  <c r="V1205" i="1"/>
  <c r="V1247" i="1" s="1"/>
  <c r="U1205" i="1"/>
  <c r="U1206" i="1" s="1"/>
  <c r="T1205" i="1"/>
  <c r="T1247" i="1" s="1"/>
  <c r="AK1263" i="1" l="1"/>
  <c r="AM1263" i="1"/>
  <c r="AM1643" i="1"/>
  <c r="AE1262" i="1"/>
  <c r="AJ1263" i="1"/>
  <c r="AG1263" i="1"/>
  <c r="AL1263" i="1"/>
  <c r="V1206" i="1"/>
  <c r="AB1206" i="1"/>
  <c r="W1247" i="1"/>
  <c r="W1262" i="1" s="1"/>
  <c r="AB1248" i="1"/>
  <c r="AB1262" i="1"/>
  <c r="AF1262" i="1"/>
  <c r="Z1262" i="1"/>
  <c r="Z1248" i="1"/>
  <c r="V1248" i="1"/>
  <c r="V1262" i="1"/>
  <c r="Y1247" i="1"/>
  <c r="U1247" i="1"/>
  <c r="AC1247" i="1"/>
  <c r="AD1248" i="1"/>
  <c r="AD1262" i="1"/>
  <c r="Z1206" i="1"/>
  <c r="AA1247" i="1"/>
  <c r="AH1248" i="1"/>
  <c r="AH1262" i="1"/>
  <c r="T1645" i="1"/>
  <c r="K1247" i="1"/>
  <c r="K1246" i="1"/>
  <c r="AE1263" i="1" l="1"/>
  <c r="AB1263" i="1"/>
  <c r="AD1263" i="1"/>
  <c r="Z1263" i="1"/>
  <c r="W1263" i="1"/>
  <c r="AH1263" i="1"/>
  <c r="V1263" i="1"/>
  <c r="AF1263" i="1"/>
  <c r="W1248" i="1"/>
  <c r="Y1248" i="1"/>
  <c r="Y1262" i="1"/>
  <c r="U1248" i="1"/>
  <c r="U1262" i="1"/>
  <c r="U1263" i="1" s="1"/>
  <c r="AA1248" i="1"/>
  <c r="AA1262" i="1"/>
  <c r="AC1248" i="1"/>
  <c r="AC1262" i="1"/>
  <c r="K1259" i="1"/>
  <c r="K1258" i="1"/>
  <c r="K1257" i="1"/>
  <c r="K1251" i="1"/>
  <c r="AC1263" i="1" l="1"/>
  <c r="AA1263" i="1"/>
  <c r="Y1263" i="1"/>
  <c r="K1245" i="1"/>
  <c r="K1242" i="1"/>
  <c r="K1239" i="1"/>
  <c r="K1236" i="1"/>
  <c r="K1233" i="1"/>
  <c r="K1230" i="1"/>
  <c r="K1227" i="1"/>
  <c r="K1224" i="1"/>
  <c r="K1221" i="1"/>
  <c r="K1218" i="1"/>
  <c r="K1215" i="1"/>
  <c r="K1212" i="1"/>
  <c r="K1209" i="1"/>
  <c r="K1206" i="1"/>
  <c r="K1253" i="1" l="1"/>
  <c r="K1262" i="1" s="1"/>
  <c r="T1252" i="1"/>
  <c r="T1261" i="1" s="1"/>
  <c r="K1252" i="1"/>
  <c r="T1253" i="1"/>
  <c r="T1230" i="1"/>
  <c r="T1227" i="1"/>
  <c r="T1215" i="1"/>
  <c r="T1212" i="1"/>
  <c r="T1209" i="1"/>
  <c r="T1206" i="1"/>
  <c r="K1261" i="1" l="1"/>
  <c r="T1254" i="1"/>
  <c r="K1254" i="1"/>
  <c r="T1260" i="1"/>
  <c r="K1260" i="1"/>
  <c r="K1248" i="1"/>
  <c r="T1248" i="1" l="1"/>
  <c r="K1263" i="1"/>
  <c r="T1262" i="1"/>
  <c r="T1263" i="1" l="1"/>
  <c r="W1716" i="1"/>
  <c r="W1694" i="1"/>
  <c r="W1696" i="1"/>
  <c r="V1716" i="1"/>
  <c r="V1695" i="1"/>
  <c r="V1694" i="1"/>
  <c r="U1716" i="1"/>
  <c r="U1695" i="1"/>
  <c r="U1694" i="1"/>
  <c r="U1729" i="1"/>
  <c r="U1728" i="1"/>
  <c r="S1694" i="1" l="1"/>
  <c r="S1182" i="1" l="1"/>
  <c r="AL1195" i="1"/>
  <c r="AL1196" i="1" s="1"/>
  <c r="AK1195" i="1"/>
  <c r="AK1196" i="1" s="1"/>
  <c r="AJ1195" i="1"/>
  <c r="AJ1196" i="1" s="1"/>
  <c r="AI1195" i="1"/>
  <c r="AH1195" i="1"/>
  <c r="AG1195" i="1"/>
  <c r="AG1196" i="1" s="1"/>
  <c r="AF1195" i="1"/>
  <c r="AE1195" i="1"/>
  <c r="AD1195" i="1"/>
  <c r="AC1195" i="1"/>
  <c r="AB1195" i="1"/>
  <c r="AA1195" i="1"/>
  <c r="Z1195" i="1"/>
  <c r="Y1195" i="1"/>
  <c r="W1195" i="1"/>
  <c r="V1195" i="1"/>
  <c r="U1195" i="1"/>
  <c r="T1195" i="1"/>
  <c r="S1195" i="1"/>
  <c r="AL1192" i="1"/>
  <c r="AL1193" i="1" s="1"/>
  <c r="AK1192" i="1"/>
  <c r="AK1193" i="1" s="1"/>
  <c r="AJ1192" i="1"/>
  <c r="AJ1193" i="1" s="1"/>
  <c r="AI1192" i="1"/>
  <c r="AI1193" i="1" s="1"/>
  <c r="AH1192" i="1"/>
  <c r="AH1193" i="1" s="1"/>
  <c r="AG1192" i="1"/>
  <c r="AG1193" i="1" s="1"/>
  <c r="AF1192" i="1"/>
  <c r="AE1192" i="1"/>
  <c r="AD1192" i="1"/>
  <c r="AC1192" i="1"/>
  <c r="AC1198" i="1" s="1"/>
  <c r="AB1192" i="1"/>
  <c r="AA1192" i="1"/>
  <c r="Z1192" i="1"/>
  <c r="Y1192" i="1"/>
  <c r="W1192" i="1"/>
  <c r="V1192" i="1"/>
  <c r="U1192" i="1"/>
  <c r="T1192" i="1"/>
  <c r="T1198" i="1" s="1"/>
  <c r="S1192" i="1"/>
  <c r="U1197" i="1"/>
  <c r="V1197" i="1"/>
  <c r="W1197" i="1"/>
  <c r="Y1197" i="1"/>
  <c r="Z1197" i="1"/>
  <c r="AA1197" i="1"/>
  <c r="AB1197" i="1"/>
  <c r="AC1197" i="1"/>
  <c r="AD1197" i="1"/>
  <c r="AE1197" i="1"/>
  <c r="AF1197" i="1"/>
  <c r="AG1197" i="1"/>
  <c r="AH1197" i="1"/>
  <c r="AI1197" i="1"/>
  <c r="AJ1197" i="1"/>
  <c r="AK1197" i="1"/>
  <c r="AL1197" i="1"/>
  <c r="T1197" i="1"/>
  <c r="S1197" i="1"/>
  <c r="K1198" i="1"/>
  <c r="K1197" i="1"/>
  <c r="AL1186" i="1"/>
  <c r="AL1189" i="1" s="1"/>
  <c r="AK1186" i="1"/>
  <c r="AK1189" i="1" s="1"/>
  <c r="AJ1186" i="1"/>
  <c r="AJ1189" i="1" s="1"/>
  <c r="AI1186" i="1"/>
  <c r="AI1189" i="1" s="1"/>
  <c r="AH1186" i="1"/>
  <c r="AH1187" i="1" s="1"/>
  <c r="AG1186" i="1"/>
  <c r="AG1187" i="1" s="1"/>
  <c r="AF1186" i="1"/>
  <c r="AE1186" i="1"/>
  <c r="AD1186" i="1"/>
  <c r="AC1186" i="1"/>
  <c r="AB1186" i="1"/>
  <c r="AA1186" i="1"/>
  <c r="Z1186" i="1"/>
  <c r="Y1186" i="1"/>
  <c r="W1186" i="1"/>
  <c r="V1186" i="1"/>
  <c r="U1186" i="1"/>
  <c r="T1186" i="1"/>
  <c r="S1186" i="1"/>
  <c r="AG1188" i="1"/>
  <c r="AH1188" i="1"/>
  <c r="AI1188" i="1"/>
  <c r="AJ1188" i="1"/>
  <c r="AK1188" i="1"/>
  <c r="AL1188" i="1"/>
  <c r="AI1182" i="1"/>
  <c r="AJ1182" i="1"/>
  <c r="AK1182" i="1"/>
  <c r="AL1182" i="1"/>
  <c r="AH1182" i="1"/>
  <c r="AG1182" i="1"/>
  <c r="AD1182" i="1"/>
  <c r="AE1182" i="1"/>
  <c r="AF1182" i="1"/>
  <c r="AC1182" i="1"/>
  <c r="AB1182" i="1"/>
  <c r="Y1182" i="1"/>
  <c r="Z1182" i="1"/>
  <c r="AA1182" i="1"/>
  <c r="W1182" i="1"/>
  <c r="V1182" i="1"/>
  <c r="U1182" i="1"/>
  <c r="T1182" i="1"/>
  <c r="K1183" i="1"/>
  <c r="K1182" i="1"/>
  <c r="Y1198" i="1" l="1"/>
  <c r="AL1198" i="1"/>
  <c r="AK1187" i="1"/>
  <c r="AG1189" i="1"/>
  <c r="AG1190" i="1" s="1"/>
  <c r="AD1198" i="1"/>
  <c r="S1198" i="1"/>
  <c r="W1198" i="1"/>
  <c r="AF1198" i="1"/>
  <c r="AH1189" i="1"/>
  <c r="AH1190" i="1" s="1"/>
  <c r="AJ1198" i="1"/>
  <c r="AG1198" i="1"/>
  <c r="AL1200" i="1"/>
  <c r="T1193" i="1"/>
  <c r="AB1198" i="1"/>
  <c r="U1198" i="1"/>
  <c r="AK1198" i="1"/>
  <c r="V1198" i="1"/>
  <c r="Z1198" i="1"/>
  <c r="AH1198" i="1"/>
  <c r="AA1198" i="1"/>
  <c r="AE1198" i="1"/>
  <c r="AI1198" i="1"/>
  <c r="AJ1190" i="1"/>
  <c r="AK1200" i="1"/>
  <c r="AG1200" i="1"/>
  <c r="AJ1200" i="1"/>
  <c r="AL1190" i="1"/>
  <c r="AI1200" i="1"/>
  <c r="AI1190" i="1"/>
  <c r="AI1196" i="1"/>
  <c r="AH1196" i="1"/>
  <c r="AH1200" i="1"/>
  <c r="AL1187" i="1"/>
  <c r="AK1190" i="1"/>
  <c r="AJ1187" i="1"/>
  <c r="AI1187" i="1"/>
  <c r="V1180" i="1"/>
  <c r="U1180" i="1"/>
  <c r="U1181" i="1" s="1"/>
  <c r="T1180" i="1"/>
  <c r="S1180" i="1"/>
  <c r="K1181" i="1"/>
  <c r="U1177" i="1"/>
  <c r="T1177" i="1"/>
  <c r="S1177" i="1"/>
  <c r="K1175" i="1"/>
  <c r="W1174" i="1"/>
  <c r="V1174" i="1"/>
  <c r="V1175" i="1" s="1"/>
  <c r="U1174" i="1"/>
  <c r="U1175" i="1" s="1"/>
  <c r="T1174" i="1"/>
  <c r="T1175" i="1" s="1"/>
  <c r="S1174" i="1"/>
  <c r="S1175" i="1" s="1"/>
  <c r="AL1171" i="1"/>
  <c r="AK1171" i="1"/>
  <c r="AJ1171" i="1"/>
  <c r="AI1171" i="1"/>
  <c r="AH1171" i="1"/>
  <c r="AG1171" i="1"/>
  <c r="AF1171" i="1"/>
  <c r="AE1171" i="1"/>
  <c r="AE1172" i="1" s="1"/>
  <c r="AD1171" i="1"/>
  <c r="AD1172" i="1" s="1"/>
  <c r="AC1171" i="1"/>
  <c r="AB1171" i="1"/>
  <c r="AA1171" i="1"/>
  <c r="Z1171" i="1"/>
  <c r="Y1171" i="1"/>
  <c r="W1171" i="1"/>
  <c r="W1172" i="1" s="1"/>
  <c r="V1171" i="1"/>
  <c r="V1172" i="1" s="1"/>
  <c r="U1171" i="1"/>
  <c r="T1171" i="1"/>
  <c r="S1171" i="1"/>
  <c r="K1169" i="1"/>
  <c r="AL1168" i="1"/>
  <c r="AL1169" i="1" s="1"/>
  <c r="AK1168" i="1"/>
  <c r="AK1169" i="1" s="1"/>
  <c r="AJ1168" i="1"/>
  <c r="AJ1169" i="1" s="1"/>
  <c r="AI1168" i="1"/>
  <c r="AI1169" i="1" s="1"/>
  <c r="AH1168" i="1"/>
  <c r="AH1169" i="1" s="1"/>
  <c r="AG1168" i="1"/>
  <c r="AG1169" i="1" s="1"/>
  <c r="AF1168" i="1"/>
  <c r="AF1169" i="1" s="1"/>
  <c r="AE1168" i="1"/>
  <c r="AE1169" i="1" s="1"/>
  <c r="AD1168" i="1"/>
  <c r="AD1169" i="1" s="1"/>
  <c r="AC1168" i="1"/>
  <c r="AC1169" i="1" s="1"/>
  <c r="AB1168" i="1"/>
  <c r="AB1169" i="1" s="1"/>
  <c r="AA1168" i="1"/>
  <c r="AA1169" i="1" s="1"/>
  <c r="Z1168" i="1"/>
  <c r="Z1169" i="1" s="1"/>
  <c r="Y1168" i="1"/>
  <c r="Y1169" i="1" s="1"/>
  <c r="W1168" i="1"/>
  <c r="W1169" i="1" s="1"/>
  <c r="V1168" i="1"/>
  <c r="V1169" i="1" s="1"/>
  <c r="U1168" i="1"/>
  <c r="U1169" i="1" s="1"/>
  <c r="T1168" i="1"/>
  <c r="T1169" i="1" s="1"/>
  <c r="S1168" i="1"/>
  <c r="S1169" i="1" s="1"/>
  <c r="K1166" i="1"/>
  <c r="AG1165" i="1"/>
  <c r="AG1166" i="1" s="1"/>
  <c r="AF1165" i="1"/>
  <c r="AF1166" i="1" s="1"/>
  <c r="AE1165" i="1"/>
  <c r="AE1166" i="1" s="1"/>
  <c r="AD1165" i="1"/>
  <c r="AD1166" i="1" s="1"/>
  <c r="AC1165" i="1"/>
  <c r="AC1166" i="1" s="1"/>
  <c r="AB1165" i="1"/>
  <c r="AB1166" i="1" s="1"/>
  <c r="AA1165" i="1"/>
  <c r="AA1166" i="1" s="1"/>
  <c r="Z1165" i="1"/>
  <c r="Z1166" i="1" s="1"/>
  <c r="Y1165" i="1"/>
  <c r="Y1166" i="1" s="1"/>
  <c r="W1165" i="1"/>
  <c r="W1166" i="1" s="1"/>
  <c r="V1165" i="1"/>
  <c r="V1166" i="1" s="1"/>
  <c r="U1165" i="1"/>
  <c r="U1166" i="1" s="1"/>
  <c r="T1165" i="1"/>
  <c r="T1166" i="1" s="1"/>
  <c r="S1165" i="1"/>
  <c r="S1166" i="1" s="1"/>
  <c r="W1162" i="1"/>
  <c r="W1163" i="1" s="1"/>
  <c r="V1162" i="1"/>
  <c r="V1163" i="1" s="1"/>
  <c r="U1162" i="1"/>
  <c r="U1163" i="1" s="1"/>
  <c r="T1162" i="1"/>
  <c r="T1163" i="1" s="1"/>
  <c r="S1162" i="1"/>
  <c r="S1163" i="1" s="1"/>
  <c r="K1163" i="1"/>
  <c r="W1159" i="1"/>
  <c r="W1160" i="1" s="1"/>
  <c r="V1159" i="1"/>
  <c r="V1160" i="1" s="1"/>
  <c r="U1159" i="1"/>
  <c r="U1160" i="1" s="1"/>
  <c r="T1159" i="1"/>
  <c r="T1160" i="1" s="1"/>
  <c r="S1159" i="1"/>
  <c r="S1160" i="1" s="1"/>
  <c r="K1160" i="1"/>
  <c r="AB1156" i="1"/>
  <c r="AB1157" i="1" s="1"/>
  <c r="AA1156" i="1"/>
  <c r="Z1156" i="1"/>
  <c r="Y1156" i="1"/>
  <c r="W1156" i="1"/>
  <c r="V1156" i="1"/>
  <c r="U1156" i="1"/>
  <c r="T1156" i="1"/>
  <c r="S1156" i="1"/>
  <c r="T1153" i="1"/>
  <c r="T1154" i="1" s="1"/>
  <c r="AG1153" i="1"/>
  <c r="AG1154" i="1" s="1"/>
  <c r="AF1153" i="1"/>
  <c r="AF1154" i="1" s="1"/>
  <c r="AE1153" i="1"/>
  <c r="AE1154" i="1" s="1"/>
  <c r="AD1153" i="1"/>
  <c r="AD1154" i="1" s="1"/>
  <c r="AC1153" i="1"/>
  <c r="AC1154" i="1" s="1"/>
  <c r="AB1153" i="1"/>
  <c r="AB1154" i="1" s="1"/>
  <c r="AA1153" i="1"/>
  <c r="AA1154" i="1" s="1"/>
  <c r="Z1153" i="1"/>
  <c r="Z1154" i="1" s="1"/>
  <c r="Y1153" i="1"/>
  <c r="Y1154" i="1" s="1"/>
  <c r="W1153" i="1"/>
  <c r="W1154" i="1" s="1"/>
  <c r="V1153" i="1"/>
  <c r="V1154" i="1" s="1"/>
  <c r="U1153" i="1"/>
  <c r="U1154" i="1" s="1"/>
  <c r="S1153" i="1"/>
  <c r="S1154" i="1" s="1"/>
  <c r="K1154" i="1"/>
  <c r="W1150" i="1"/>
  <c r="W1151" i="1" s="1"/>
  <c r="V1150" i="1"/>
  <c r="U1150" i="1"/>
  <c r="T1150" i="1"/>
  <c r="S1150" i="1"/>
  <c r="K1148" i="1"/>
  <c r="W1147" i="1"/>
  <c r="W1148" i="1" s="1"/>
  <c r="V1147" i="1"/>
  <c r="V1148" i="1" s="1"/>
  <c r="U1147" i="1"/>
  <c r="U1148" i="1" s="1"/>
  <c r="T1147" i="1"/>
  <c r="T1148" i="1" s="1"/>
  <c r="S1147" i="1"/>
  <c r="S1148" i="1" s="1"/>
  <c r="AF1144" i="1"/>
  <c r="AF1145" i="1" s="1"/>
  <c r="AE1144" i="1"/>
  <c r="AE1145" i="1" s="1"/>
  <c r="AD1144" i="1"/>
  <c r="AD1145" i="1" s="1"/>
  <c r="AC1144" i="1"/>
  <c r="AC1145" i="1" s="1"/>
  <c r="AB1144" i="1"/>
  <c r="AB1145" i="1" s="1"/>
  <c r="AA1144" i="1"/>
  <c r="Z1144" i="1"/>
  <c r="Y1144" i="1"/>
  <c r="W1144" i="1"/>
  <c r="V1144" i="1"/>
  <c r="U1144" i="1"/>
  <c r="T1144" i="1"/>
  <c r="S1144" i="1"/>
  <c r="W1141" i="1"/>
  <c r="V1141" i="1"/>
  <c r="U1141" i="1"/>
  <c r="T1141" i="1"/>
  <c r="S1141" i="1"/>
  <c r="AJ1686" i="1" l="1"/>
  <c r="AI1653" i="1"/>
  <c r="AL1653" i="1"/>
  <c r="AJ1653" i="1"/>
  <c r="AL1684" i="1"/>
  <c r="AL1727" i="1"/>
  <c r="AL1732" i="1" s="1"/>
  <c r="AH1727" i="1"/>
  <c r="AH1732" i="1" s="1"/>
  <c r="AK1653" i="1"/>
  <c r="AK1727" i="1"/>
  <c r="AK1732" i="1" s="1"/>
  <c r="AG1727" i="1"/>
  <c r="AG1732" i="1" s="1"/>
  <c r="AG1684" i="1"/>
  <c r="AJ1684" i="1"/>
  <c r="AJ1727" i="1"/>
  <c r="AJ1732" i="1" s="1"/>
  <c r="AI1727" i="1"/>
  <c r="AI1732" i="1" s="1"/>
  <c r="AL1199" i="1"/>
  <c r="AK1686" i="1"/>
  <c r="AI1686" i="1"/>
  <c r="AK1684" i="1"/>
  <c r="AI1684" i="1"/>
  <c r="AI1199" i="1"/>
  <c r="AG1199" i="1"/>
  <c r="AJ1199" i="1"/>
  <c r="AH1199" i="1"/>
  <c r="AH1684" i="1"/>
  <c r="AK1715" i="1"/>
  <c r="AK1199" i="1"/>
  <c r="AA1172" i="1"/>
  <c r="AA1183" i="1"/>
  <c r="AE1183" i="1"/>
  <c r="AI1172" i="1"/>
  <c r="AI1183" i="1"/>
  <c r="W1175" i="1"/>
  <c r="W1183" i="1"/>
  <c r="U1183" i="1"/>
  <c r="AB1172" i="1"/>
  <c r="AB1183" i="1"/>
  <c r="AF1172" i="1"/>
  <c r="AF1183" i="1"/>
  <c r="AJ1172" i="1"/>
  <c r="AJ1183" i="1"/>
  <c r="V1181" i="1"/>
  <c r="V1183" i="1"/>
  <c r="Y1172" i="1"/>
  <c r="Y1183" i="1"/>
  <c r="AC1172" i="1"/>
  <c r="AC1183" i="1"/>
  <c r="AG1172" i="1"/>
  <c r="AG1183" i="1"/>
  <c r="AK1172" i="1"/>
  <c r="AK1183" i="1"/>
  <c r="S1181" i="1"/>
  <c r="S1183" i="1"/>
  <c r="Z1172" i="1"/>
  <c r="Z1183" i="1"/>
  <c r="AD1183" i="1"/>
  <c r="AH1172" i="1"/>
  <c r="AH1183" i="1"/>
  <c r="AL1172" i="1"/>
  <c r="AL1183" i="1"/>
  <c r="T1181" i="1"/>
  <c r="T1183" i="1"/>
  <c r="AL1715" i="1"/>
  <c r="AI1715" i="1"/>
  <c r="AJ1715" i="1"/>
  <c r="K1193" i="1"/>
  <c r="AF1193" i="1"/>
  <c r="AE1193" i="1"/>
  <c r="AD1193" i="1"/>
  <c r="AC1193" i="1"/>
  <c r="AB1193" i="1"/>
  <c r="AA1193" i="1"/>
  <c r="Z1193" i="1"/>
  <c r="Y1193" i="1"/>
  <c r="W1193" i="1"/>
  <c r="V1193" i="1"/>
  <c r="U1193" i="1"/>
  <c r="S1193" i="1"/>
  <c r="K1189" i="1"/>
  <c r="K1201" i="1" s="1"/>
  <c r="AF1188" i="1"/>
  <c r="AF1200" i="1" s="1"/>
  <c r="AE1188" i="1"/>
  <c r="AE1200" i="1" s="1"/>
  <c r="AD1188" i="1"/>
  <c r="AD1200" i="1" s="1"/>
  <c r="AC1188" i="1"/>
  <c r="AC1200" i="1" s="1"/>
  <c r="AB1188" i="1"/>
  <c r="AB1200" i="1" s="1"/>
  <c r="AA1188" i="1"/>
  <c r="AA1200" i="1" s="1"/>
  <c r="Z1188" i="1"/>
  <c r="Z1200" i="1" s="1"/>
  <c r="Y1188" i="1"/>
  <c r="Y1200" i="1" s="1"/>
  <c r="W1188" i="1"/>
  <c r="W1200" i="1" s="1"/>
  <c r="V1188" i="1"/>
  <c r="V1200" i="1" s="1"/>
  <c r="U1188" i="1"/>
  <c r="U1200" i="1" s="1"/>
  <c r="T1188" i="1"/>
  <c r="T1200" i="1" s="1"/>
  <c r="S1188" i="1"/>
  <c r="S1200" i="1" s="1"/>
  <c r="K1188" i="1"/>
  <c r="K1187" i="1"/>
  <c r="AF1187" i="1"/>
  <c r="AE1189" i="1"/>
  <c r="AD1189" i="1"/>
  <c r="AC1187" i="1"/>
  <c r="AB1187" i="1"/>
  <c r="AA1189" i="1"/>
  <c r="Z1189" i="1"/>
  <c r="Y1187" i="1"/>
  <c r="W1189" i="1"/>
  <c r="V1187" i="1"/>
  <c r="U1187" i="1"/>
  <c r="T1187" i="1"/>
  <c r="S1189" i="1"/>
  <c r="S1142" i="1"/>
  <c r="K1142" i="1"/>
  <c r="W1142" i="1"/>
  <c r="V1142" i="1"/>
  <c r="U1142" i="1"/>
  <c r="T1142" i="1"/>
  <c r="K1196" i="1"/>
  <c r="S1157" i="1"/>
  <c r="K1157" i="1"/>
  <c r="AA1157" i="1"/>
  <c r="Z1157" i="1"/>
  <c r="Y1157" i="1"/>
  <c r="W1157" i="1"/>
  <c r="V1157" i="1"/>
  <c r="U1157" i="1"/>
  <c r="T1157" i="1"/>
  <c r="K1178" i="1"/>
  <c r="U1178" i="1"/>
  <c r="T1178" i="1"/>
  <c r="S1178" i="1"/>
  <c r="S1172" i="1"/>
  <c r="K1172" i="1"/>
  <c r="U1172" i="1"/>
  <c r="T1172" i="1"/>
  <c r="K1151" i="1"/>
  <c r="V1151" i="1"/>
  <c r="U1151" i="1"/>
  <c r="T1151" i="1"/>
  <c r="S1151" i="1"/>
  <c r="U1145" i="1"/>
  <c r="K1145" i="1"/>
  <c r="Z1145" i="1"/>
  <c r="Y1145" i="1"/>
  <c r="V1145" i="1"/>
  <c r="T1145" i="1"/>
  <c r="AL1693" i="1" l="1"/>
  <c r="AL1734" i="1" s="1"/>
  <c r="AK1693" i="1"/>
  <c r="AK1734" i="1" s="1"/>
  <c r="AJ1693" i="1"/>
  <c r="AJ1734" i="1" s="1"/>
  <c r="AI1687" i="1"/>
  <c r="AI1693" i="1"/>
  <c r="AI1734" i="1" s="1"/>
  <c r="AA1201" i="1"/>
  <c r="Z1201" i="1"/>
  <c r="S1201" i="1"/>
  <c r="W1201" i="1"/>
  <c r="AE1201" i="1"/>
  <c r="AL1184" i="1"/>
  <c r="AL1201" i="1"/>
  <c r="AG1201" i="1"/>
  <c r="AG1184" i="1"/>
  <c r="AJ1184" i="1"/>
  <c r="AJ1201" i="1"/>
  <c r="AD1201" i="1"/>
  <c r="AH1184" i="1"/>
  <c r="AH1201" i="1"/>
  <c r="AK1184" i="1"/>
  <c r="AK1201" i="1"/>
  <c r="AI1184" i="1"/>
  <c r="AI1201" i="1"/>
  <c r="K1200" i="1"/>
  <c r="T1189" i="1"/>
  <c r="Z1187" i="1"/>
  <c r="Y1189" i="1"/>
  <c r="AD1187" i="1"/>
  <c r="U1189" i="1"/>
  <c r="AF1189" i="1"/>
  <c r="K1190" i="1"/>
  <c r="V1189" i="1"/>
  <c r="AB1189" i="1"/>
  <c r="AC1189" i="1"/>
  <c r="AB1184" i="1"/>
  <c r="AF1184" i="1"/>
  <c r="AD1190" i="1"/>
  <c r="S1190" i="1"/>
  <c r="W1190" i="1"/>
  <c r="AA1190" i="1"/>
  <c r="AE1190" i="1"/>
  <c r="Z1190" i="1"/>
  <c r="S1187" i="1"/>
  <c r="W1187" i="1"/>
  <c r="AA1187" i="1"/>
  <c r="AE1187" i="1"/>
  <c r="K1184" i="1"/>
  <c r="AE1184" i="1"/>
  <c r="Z1184" i="1"/>
  <c r="Y1184" i="1"/>
  <c r="AC1184" i="1"/>
  <c r="T1199" i="1"/>
  <c r="AB1199" i="1"/>
  <c r="AF1199" i="1"/>
  <c r="S1145" i="1"/>
  <c r="S1184" i="1"/>
  <c r="W1145" i="1"/>
  <c r="W1184" i="1"/>
  <c r="AA1145" i="1"/>
  <c r="AA1184" i="1"/>
  <c r="U1184" i="1"/>
  <c r="U1199" i="1"/>
  <c r="Y1199" i="1"/>
  <c r="AC1199" i="1"/>
  <c r="T1184" i="1"/>
  <c r="V1184" i="1"/>
  <c r="V1196" i="1"/>
  <c r="Z1199" i="1"/>
  <c r="AD1199" i="1"/>
  <c r="S1199" i="1"/>
  <c r="W1199" i="1"/>
  <c r="AA1199" i="1"/>
  <c r="AE1199" i="1"/>
  <c r="T1196" i="1"/>
  <c r="AB1196" i="1"/>
  <c r="AF1196" i="1"/>
  <c r="U1196" i="1"/>
  <c r="Y1196" i="1"/>
  <c r="AC1196" i="1"/>
  <c r="K1199" i="1"/>
  <c r="Z1196" i="1"/>
  <c r="AD1196" i="1"/>
  <c r="S1196" i="1"/>
  <c r="W1196" i="1"/>
  <c r="AA1196" i="1"/>
  <c r="AE1196" i="1"/>
  <c r="AI1654" i="1" l="1"/>
  <c r="AK1661" i="1"/>
  <c r="AJ1661" i="1"/>
  <c r="AL1661" i="1"/>
  <c r="AI1661" i="1"/>
  <c r="AH1202" i="1"/>
  <c r="AG1202" i="1"/>
  <c r="AI1202" i="1"/>
  <c r="AK1643" i="1"/>
  <c r="AK1202" i="1"/>
  <c r="AL1643" i="1"/>
  <c r="AL1202" i="1"/>
  <c r="AJ1202" i="1"/>
  <c r="AB1190" i="1"/>
  <c r="AB1201" i="1"/>
  <c r="U1190" i="1"/>
  <c r="U1201" i="1"/>
  <c r="U1202" i="1" s="1"/>
  <c r="T1190" i="1"/>
  <c r="T1201" i="1"/>
  <c r="T1202" i="1" s="1"/>
  <c r="AC1190" i="1"/>
  <c r="AC1201" i="1"/>
  <c r="V1190" i="1"/>
  <c r="V1201" i="1"/>
  <c r="Y1190" i="1"/>
  <c r="Y1201" i="1"/>
  <c r="AF1190" i="1"/>
  <c r="AF1201" i="1"/>
  <c r="AD1184" i="1"/>
  <c r="K1202" i="1"/>
  <c r="Z1202" i="1"/>
  <c r="W1202" i="1"/>
  <c r="AE1202" i="1"/>
  <c r="AA1202" i="1"/>
  <c r="S1202" i="1"/>
  <c r="AD1202" i="1"/>
  <c r="V1199" i="1"/>
  <c r="AI1643" i="1" l="1"/>
  <c r="AF1202" i="1"/>
  <c r="AC1202" i="1"/>
  <c r="V1202" i="1"/>
  <c r="AJ1643" i="1"/>
  <c r="AB1202" i="1"/>
  <c r="Y1202" i="1"/>
  <c r="AC1127" i="1" l="1"/>
  <c r="AD1127" i="1"/>
  <c r="AE1127" i="1"/>
  <c r="AF1127" i="1"/>
  <c r="AB1127" i="1"/>
  <c r="Y1127" i="1"/>
  <c r="Z1127" i="1"/>
  <c r="AA1127" i="1"/>
  <c r="W1127" i="1"/>
  <c r="S1127" i="1"/>
  <c r="T1127" i="1"/>
  <c r="U1127" i="1"/>
  <c r="V1127" i="1"/>
  <c r="R1127" i="1"/>
  <c r="K1128" i="1" l="1"/>
  <c r="K1127" i="1"/>
  <c r="V1125" i="1"/>
  <c r="U1125" i="1"/>
  <c r="T1125" i="1"/>
  <c r="S1125" i="1"/>
  <c r="R1125" i="1"/>
  <c r="AF1122" i="1"/>
  <c r="AF1123" i="1" s="1"/>
  <c r="AE1122" i="1"/>
  <c r="AE1123" i="1" s="1"/>
  <c r="AD1122" i="1"/>
  <c r="AD1123" i="1" s="1"/>
  <c r="AC1122" i="1"/>
  <c r="AC1123" i="1" s="1"/>
  <c r="AB1122" i="1"/>
  <c r="AB1123" i="1" s="1"/>
  <c r="AA1122" i="1"/>
  <c r="AA1123" i="1" s="1"/>
  <c r="Z1122" i="1"/>
  <c r="Y1122" i="1"/>
  <c r="W1122" i="1"/>
  <c r="V1122" i="1"/>
  <c r="U1122" i="1"/>
  <c r="T1122" i="1"/>
  <c r="S1122" i="1"/>
  <c r="R1122" i="1"/>
  <c r="V1119" i="1"/>
  <c r="V1120" i="1" s="1"/>
  <c r="U1119" i="1"/>
  <c r="T1119" i="1"/>
  <c r="S1119" i="1"/>
  <c r="R1119" i="1"/>
  <c r="AA1116" i="1"/>
  <c r="Z1116" i="1"/>
  <c r="Y1116" i="1"/>
  <c r="W1116" i="1"/>
  <c r="V1116" i="1"/>
  <c r="U1116" i="1"/>
  <c r="T1116" i="1"/>
  <c r="S1116" i="1"/>
  <c r="R1116" i="1"/>
  <c r="AA1113" i="1"/>
  <c r="AA1114" i="1" s="1"/>
  <c r="Z1113" i="1"/>
  <c r="Y1113" i="1"/>
  <c r="W1113" i="1"/>
  <c r="V1113" i="1"/>
  <c r="U1113" i="1"/>
  <c r="T1113" i="1"/>
  <c r="S1113" i="1"/>
  <c r="R1113" i="1"/>
  <c r="V1110" i="1"/>
  <c r="V1111" i="1" s="1"/>
  <c r="U1110" i="1"/>
  <c r="U1111" i="1" s="1"/>
  <c r="T1110" i="1"/>
  <c r="S1110" i="1"/>
  <c r="R1110" i="1"/>
  <c r="AA1107" i="1"/>
  <c r="AA1108" i="1" s="1"/>
  <c r="Z1107" i="1"/>
  <c r="Z1108" i="1" s="1"/>
  <c r="Y1107" i="1"/>
  <c r="Y1108" i="1" s="1"/>
  <c r="W1107" i="1"/>
  <c r="W1108" i="1" s="1"/>
  <c r="V1107" i="1"/>
  <c r="V1108" i="1" s="1"/>
  <c r="U1107" i="1"/>
  <c r="T1107" i="1"/>
  <c r="S1107" i="1"/>
  <c r="R1107" i="1"/>
  <c r="AF1104" i="1"/>
  <c r="AF1105" i="1" s="1"/>
  <c r="AE1104" i="1"/>
  <c r="AE1105" i="1" s="1"/>
  <c r="AD1104" i="1"/>
  <c r="AD1105" i="1" s="1"/>
  <c r="AC1104" i="1"/>
  <c r="AC1105" i="1" s="1"/>
  <c r="AB1104" i="1"/>
  <c r="AB1105" i="1" s="1"/>
  <c r="AA1104" i="1"/>
  <c r="AA1105" i="1" s="1"/>
  <c r="Z1104" i="1"/>
  <c r="Z1105" i="1" s="1"/>
  <c r="Y1104" i="1"/>
  <c r="Y1105" i="1" s="1"/>
  <c r="W1104" i="1"/>
  <c r="W1105" i="1" s="1"/>
  <c r="V1104" i="1"/>
  <c r="V1105" i="1" s="1"/>
  <c r="U1104" i="1"/>
  <c r="U1105" i="1" s="1"/>
  <c r="T1104" i="1"/>
  <c r="T1105" i="1" s="1"/>
  <c r="S1104" i="1"/>
  <c r="S1105" i="1" s="1"/>
  <c r="R1104" i="1"/>
  <c r="R1105" i="1" s="1"/>
  <c r="K1102" i="1"/>
  <c r="AF1101" i="1"/>
  <c r="AE1101" i="1"/>
  <c r="AD1101" i="1"/>
  <c r="AC1101" i="1"/>
  <c r="AB1101" i="1"/>
  <c r="AA1101" i="1"/>
  <c r="AA1102" i="1" s="1"/>
  <c r="Z1101" i="1"/>
  <c r="Z1102" i="1" s="1"/>
  <c r="Y1101" i="1"/>
  <c r="Y1102" i="1" s="1"/>
  <c r="W1101" i="1"/>
  <c r="W1102" i="1" s="1"/>
  <c r="V1101" i="1"/>
  <c r="V1102" i="1" s="1"/>
  <c r="U1101" i="1"/>
  <c r="U1102" i="1" s="1"/>
  <c r="T1101" i="1"/>
  <c r="T1102" i="1" s="1"/>
  <c r="S1101" i="1"/>
  <c r="S1102" i="1" s="1"/>
  <c r="R1101" i="1"/>
  <c r="R1102" i="1" s="1"/>
  <c r="R1098" i="1"/>
  <c r="V1098" i="1"/>
  <c r="V1099" i="1" s="1"/>
  <c r="U1098" i="1"/>
  <c r="T1098" i="1"/>
  <c r="S1098" i="1"/>
  <c r="AA1095" i="1"/>
  <c r="Z1095" i="1"/>
  <c r="Y1095" i="1"/>
  <c r="W1095" i="1"/>
  <c r="V1095" i="1"/>
  <c r="U1095" i="1"/>
  <c r="T1095" i="1"/>
  <c r="S1095" i="1"/>
  <c r="R1095" i="1"/>
  <c r="AF1131" i="1"/>
  <c r="AE1131" i="1"/>
  <c r="AD1131" i="1"/>
  <c r="AC1131" i="1"/>
  <c r="AB1131" i="1"/>
  <c r="AA1131" i="1"/>
  <c r="Z1131" i="1"/>
  <c r="Y1131" i="1"/>
  <c r="W1131" i="1"/>
  <c r="V1131" i="1"/>
  <c r="U1131" i="1"/>
  <c r="T1131" i="1"/>
  <c r="S1131" i="1"/>
  <c r="R1131" i="1"/>
  <c r="U1128" i="1" l="1"/>
  <c r="Y1128" i="1"/>
  <c r="V1128" i="1"/>
  <c r="S1128" i="1"/>
  <c r="W1128" i="1"/>
  <c r="AA1096" i="1"/>
  <c r="AA1128" i="1"/>
  <c r="AE1102" i="1"/>
  <c r="AE1128" i="1"/>
  <c r="R1128" i="1"/>
  <c r="Z1096" i="1"/>
  <c r="Z1128" i="1"/>
  <c r="AD1102" i="1"/>
  <c r="AD1128" i="1"/>
  <c r="T1128" i="1"/>
  <c r="AB1102" i="1"/>
  <c r="AB1128" i="1"/>
  <c r="AF1102" i="1"/>
  <c r="AF1128" i="1"/>
  <c r="AF1129" i="1" s="1"/>
  <c r="AC1102" i="1"/>
  <c r="AC1128" i="1"/>
  <c r="Z1134" i="1"/>
  <c r="Y1134" i="1"/>
  <c r="R1134" i="1"/>
  <c r="K1134" i="1"/>
  <c r="K1137" i="1" s="1"/>
  <c r="AF1133" i="1"/>
  <c r="AF1136" i="1" s="1"/>
  <c r="AE1133" i="1"/>
  <c r="AE1136" i="1" s="1"/>
  <c r="AD1133" i="1"/>
  <c r="AD1136" i="1" s="1"/>
  <c r="AC1133" i="1"/>
  <c r="AC1136" i="1" s="1"/>
  <c r="AB1133" i="1"/>
  <c r="AB1136" i="1" s="1"/>
  <c r="AA1133" i="1"/>
  <c r="AA1136" i="1" s="1"/>
  <c r="Z1133" i="1"/>
  <c r="Z1136" i="1" s="1"/>
  <c r="Y1133" i="1"/>
  <c r="Y1136" i="1" s="1"/>
  <c r="W1133" i="1"/>
  <c r="W1136" i="1" s="1"/>
  <c r="V1133" i="1"/>
  <c r="V1136" i="1" s="1"/>
  <c r="U1133" i="1"/>
  <c r="U1136" i="1" s="1"/>
  <c r="T1133" i="1"/>
  <c r="T1136" i="1" s="1"/>
  <c r="S1133" i="1"/>
  <c r="S1136" i="1" s="1"/>
  <c r="R1133" i="1"/>
  <c r="R1136" i="1" s="1"/>
  <c r="K1133" i="1"/>
  <c r="AD1132" i="1"/>
  <c r="Z1132" i="1"/>
  <c r="V1132" i="1"/>
  <c r="K1132" i="1"/>
  <c r="AF1134" i="1"/>
  <c r="AE1134" i="1"/>
  <c r="AD1134" i="1"/>
  <c r="AC1132" i="1"/>
  <c r="AB1132" i="1"/>
  <c r="AA1134" i="1"/>
  <c r="Y1132" i="1"/>
  <c r="W1134" i="1"/>
  <c r="V1134" i="1"/>
  <c r="U1132" i="1"/>
  <c r="T1134" i="1"/>
  <c r="S1134" i="1"/>
  <c r="R1132" i="1"/>
  <c r="K1120" i="1"/>
  <c r="U1120" i="1"/>
  <c r="T1120" i="1"/>
  <c r="S1120" i="1"/>
  <c r="R1120" i="1"/>
  <c r="K1114" i="1"/>
  <c r="Z1114" i="1"/>
  <c r="Y1114" i="1"/>
  <c r="W1114" i="1"/>
  <c r="V1114" i="1"/>
  <c r="U1114" i="1"/>
  <c r="T1114" i="1"/>
  <c r="S1114" i="1"/>
  <c r="R1114" i="1"/>
  <c r="K1126" i="1"/>
  <c r="V1126" i="1"/>
  <c r="U1126" i="1"/>
  <c r="T1126" i="1"/>
  <c r="S1126" i="1"/>
  <c r="R1126" i="1"/>
  <c r="K1123" i="1"/>
  <c r="Z1123" i="1"/>
  <c r="Y1123" i="1"/>
  <c r="W1123" i="1"/>
  <c r="V1123" i="1"/>
  <c r="U1123" i="1"/>
  <c r="T1123" i="1"/>
  <c r="S1123" i="1"/>
  <c r="R1123" i="1"/>
  <c r="K1117" i="1"/>
  <c r="AA1117" i="1"/>
  <c r="Z1117" i="1"/>
  <c r="Y1117" i="1"/>
  <c r="W1117" i="1"/>
  <c r="V1117" i="1"/>
  <c r="U1117" i="1"/>
  <c r="T1117" i="1"/>
  <c r="S1117" i="1"/>
  <c r="R1117" i="1"/>
  <c r="K1111" i="1"/>
  <c r="T1111" i="1"/>
  <c r="S1111" i="1"/>
  <c r="R1111" i="1"/>
  <c r="U1108" i="1"/>
  <c r="T1108" i="1"/>
  <c r="K1108" i="1"/>
  <c r="S1108" i="1"/>
  <c r="R1108" i="1"/>
  <c r="K1105" i="1"/>
  <c r="K1099" i="1"/>
  <c r="U1099" i="1"/>
  <c r="T1099" i="1"/>
  <c r="S1099" i="1"/>
  <c r="R1099" i="1"/>
  <c r="Y1096" i="1"/>
  <c r="K1096" i="1"/>
  <c r="W1096" i="1"/>
  <c r="V1096" i="1"/>
  <c r="U1096" i="1"/>
  <c r="T1096" i="1"/>
  <c r="S1096" i="1"/>
  <c r="R1096" i="1"/>
  <c r="W1137" i="1" l="1"/>
  <c r="K1136" i="1"/>
  <c r="AD1137" i="1"/>
  <c r="V1137" i="1"/>
  <c r="Y1137" i="1"/>
  <c r="AA1135" i="1"/>
  <c r="AA1137" i="1"/>
  <c r="S1137" i="1"/>
  <c r="AF1137" i="1"/>
  <c r="T1137" i="1"/>
  <c r="AE1135" i="1"/>
  <c r="AE1137" i="1"/>
  <c r="Z1137" i="1"/>
  <c r="R1137" i="1"/>
  <c r="S1135" i="1"/>
  <c r="W1135" i="1"/>
  <c r="K1129" i="1"/>
  <c r="K1135" i="1"/>
  <c r="AA1129" i="1"/>
  <c r="AD1129" i="1"/>
  <c r="AB1129" i="1"/>
  <c r="AE1129" i="1"/>
  <c r="U1134" i="1"/>
  <c r="W1129" i="1"/>
  <c r="R1129" i="1"/>
  <c r="AE1132" i="1"/>
  <c r="T1135" i="1"/>
  <c r="AF1135" i="1"/>
  <c r="T1129" i="1"/>
  <c r="V1135" i="1"/>
  <c r="Y1129" i="1"/>
  <c r="V1129" i="1"/>
  <c r="AA1132" i="1"/>
  <c r="AF1132" i="1"/>
  <c r="R1135" i="1"/>
  <c r="AC1134" i="1"/>
  <c r="AC1137" i="1" s="1"/>
  <c r="T1132" i="1"/>
  <c r="AB1134" i="1"/>
  <c r="AB1137" i="1" s="1"/>
  <c r="W1132" i="1"/>
  <c r="Y1135" i="1"/>
  <c r="AD1135" i="1"/>
  <c r="AC1129" i="1"/>
  <c r="U1129" i="1"/>
  <c r="S1129" i="1"/>
  <c r="S1132" i="1"/>
  <c r="Z1135" i="1"/>
  <c r="AF1138" i="1" l="1"/>
  <c r="U1135" i="1"/>
  <c r="U1137" i="1"/>
  <c r="U1138" i="1" s="1"/>
  <c r="AA1138" i="1"/>
  <c r="AD1138" i="1"/>
  <c r="AE1138" i="1"/>
  <c r="W1138" i="1"/>
  <c r="S1138" i="1"/>
  <c r="R1138" i="1"/>
  <c r="T1138" i="1"/>
  <c r="K1138" i="1"/>
  <c r="Y1138" i="1"/>
  <c r="V1138" i="1"/>
  <c r="Z1138" i="1"/>
  <c r="Z1129" i="1"/>
  <c r="AC1135" i="1"/>
  <c r="AC1138" i="1"/>
  <c r="AB1138" i="1"/>
  <c r="AB1135" i="1"/>
  <c r="AC547" i="1" l="1"/>
  <c r="AB542" i="1"/>
  <c r="AS1625" i="1" l="1"/>
  <c r="AS1647" i="1" s="1"/>
  <c r="AR1625" i="1"/>
  <c r="AR1647" i="1" s="1"/>
  <c r="AQ1625" i="1"/>
  <c r="AQ1647" i="1" s="1"/>
  <c r="AP1625" i="1"/>
  <c r="AO1625" i="1"/>
  <c r="AN1625" i="1"/>
  <c r="AM1625" i="1"/>
  <c r="AL1625" i="1"/>
  <c r="AK1625" i="1"/>
  <c r="AJ1625" i="1"/>
  <c r="AI1625" i="1"/>
  <c r="AH1625" i="1"/>
  <c r="AG1625" i="1"/>
  <c r="AF1625" i="1"/>
  <c r="AE1625" i="1"/>
  <c r="AD1625" i="1"/>
  <c r="AC1625" i="1"/>
  <c r="AB1625" i="1"/>
  <c r="AA1625" i="1"/>
  <c r="Z1625" i="1"/>
  <c r="W1625" i="1"/>
  <c r="W1626" i="1" s="1"/>
  <c r="V1625" i="1"/>
  <c r="V1626" i="1" s="1"/>
  <c r="U1625" i="1"/>
  <c r="T1625" i="1"/>
  <c r="T1626" i="1" s="1"/>
  <c r="S1625" i="1"/>
  <c r="S1626" i="1" s="1"/>
  <c r="R1625" i="1"/>
  <c r="K1076" i="1"/>
  <c r="AQ1718" i="1" l="1"/>
  <c r="AQ1719" i="1" s="1"/>
  <c r="AQ1675" i="1"/>
  <c r="AQ1655" i="1"/>
  <c r="AR1675" i="1"/>
  <c r="AR1718" i="1"/>
  <c r="AR1719" i="1" s="1"/>
  <c r="AS1675" i="1"/>
  <c r="AS1718" i="1"/>
  <c r="AS1719" i="1" s="1"/>
  <c r="AC1626" i="1"/>
  <c r="AK1626" i="1"/>
  <c r="AO1626" i="1"/>
  <c r="AS1626" i="1"/>
  <c r="Z1626" i="1"/>
  <c r="AD1626" i="1"/>
  <c r="AF1626" i="1"/>
  <c r="AJ1626" i="1"/>
  <c r="AI1626" i="1"/>
  <c r="AM1626" i="1"/>
  <c r="U1085" i="1"/>
  <c r="AF1085" i="1"/>
  <c r="AF1088" i="1" s="1"/>
  <c r="AE1085" i="1"/>
  <c r="AE1086" i="1" s="1"/>
  <c r="AD1085" i="1"/>
  <c r="AD1086" i="1" s="1"/>
  <c r="AC1085" i="1"/>
  <c r="AC1086" i="1" s="1"/>
  <c r="AB1085" i="1"/>
  <c r="AB1088" i="1" s="1"/>
  <c r="AA1085" i="1"/>
  <c r="AA1086" i="1" s="1"/>
  <c r="Z1085" i="1"/>
  <c r="Z1086" i="1" s="1"/>
  <c r="Y1085" i="1"/>
  <c r="Y1086" i="1" s="1"/>
  <c r="W1085" i="1"/>
  <c r="V1085" i="1"/>
  <c r="T1085" i="1"/>
  <c r="S1085" i="1"/>
  <c r="R1085" i="1"/>
  <c r="Q1085" i="1"/>
  <c r="Y1087" i="1"/>
  <c r="Z1087" i="1"/>
  <c r="AA1087" i="1"/>
  <c r="AB1087" i="1"/>
  <c r="AC1087" i="1"/>
  <c r="AD1087" i="1"/>
  <c r="AE1087" i="1"/>
  <c r="AF1087" i="1"/>
  <c r="AF1079" i="1"/>
  <c r="AF1082" i="1" s="1"/>
  <c r="AE1079" i="1"/>
  <c r="AE1080" i="1" s="1"/>
  <c r="AD1079" i="1"/>
  <c r="AC1079" i="1"/>
  <c r="AB1079" i="1"/>
  <c r="AA1079" i="1"/>
  <c r="Z1079" i="1"/>
  <c r="Y1079" i="1"/>
  <c r="W1079" i="1"/>
  <c r="V1079" i="1"/>
  <c r="U1079" i="1"/>
  <c r="T1079" i="1"/>
  <c r="S1079" i="1"/>
  <c r="R1079" i="1"/>
  <c r="Q1079" i="1"/>
  <c r="AF1081" i="1"/>
  <c r="AE1081" i="1"/>
  <c r="AE1075" i="1"/>
  <c r="AD1075" i="1"/>
  <c r="AC1075" i="1"/>
  <c r="AB1075" i="1"/>
  <c r="AA1075" i="1"/>
  <c r="Z1075" i="1"/>
  <c r="W1075" i="1"/>
  <c r="Y1075" i="1"/>
  <c r="V1075" i="1"/>
  <c r="U1075" i="1"/>
  <c r="U1073" i="1"/>
  <c r="U1074" i="1" s="1"/>
  <c r="T1073" i="1"/>
  <c r="T1074" i="1" s="1"/>
  <c r="S1073" i="1"/>
  <c r="S1074" i="1" s="1"/>
  <c r="R1073" i="1"/>
  <c r="R1074" i="1" s="1"/>
  <c r="Q1073" i="1"/>
  <c r="AB1070" i="1"/>
  <c r="AA1070" i="1"/>
  <c r="AA1071" i="1" s="1"/>
  <c r="Z1070" i="1"/>
  <c r="Z1071" i="1" s="1"/>
  <c r="Y1070" i="1"/>
  <c r="Y1071" i="1" s="1"/>
  <c r="W1070" i="1"/>
  <c r="W1071" i="1" s="1"/>
  <c r="V1070" i="1"/>
  <c r="V1071" i="1" s="1"/>
  <c r="U1070" i="1"/>
  <c r="U1071" i="1" s="1"/>
  <c r="T1070" i="1"/>
  <c r="S1070" i="1"/>
  <c r="R1070" i="1"/>
  <c r="Q1070" i="1"/>
  <c r="U1067" i="1"/>
  <c r="U1068" i="1" s="1"/>
  <c r="T1067" i="1"/>
  <c r="S1067" i="1"/>
  <c r="R1067" i="1"/>
  <c r="Q1067" i="1"/>
  <c r="U1064" i="1"/>
  <c r="U1065" i="1" s="1"/>
  <c r="T1064" i="1"/>
  <c r="S1064" i="1"/>
  <c r="R1064" i="1"/>
  <c r="Q1064" i="1"/>
  <c r="Z1061" i="1"/>
  <c r="Z1062" i="1" s="1"/>
  <c r="Y1061" i="1"/>
  <c r="W1061" i="1"/>
  <c r="V1061" i="1"/>
  <c r="U1061" i="1"/>
  <c r="T1061" i="1"/>
  <c r="S1061" i="1"/>
  <c r="R1061" i="1"/>
  <c r="Q1061" i="1"/>
  <c r="AE1058" i="1"/>
  <c r="AE1059" i="1" s="1"/>
  <c r="AD1058" i="1"/>
  <c r="AC1058" i="1"/>
  <c r="AB1058" i="1"/>
  <c r="AA1058" i="1"/>
  <c r="Z1058" i="1"/>
  <c r="Y1058" i="1"/>
  <c r="W1058" i="1"/>
  <c r="V1058" i="1"/>
  <c r="U1058" i="1"/>
  <c r="T1058" i="1"/>
  <c r="S1058" i="1"/>
  <c r="R1058" i="1"/>
  <c r="Q1058" i="1"/>
  <c r="Z1055" i="1"/>
  <c r="Z1056" i="1" s="1"/>
  <c r="Y1055" i="1"/>
  <c r="W1055" i="1"/>
  <c r="V1055" i="1"/>
  <c r="U1055" i="1"/>
  <c r="T1055" i="1"/>
  <c r="S1055" i="1"/>
  <c r="R1055" i="1"/>
  <c r="Q1055" i="1"/>
  <c r="AE1052" i="1"/>
  <c r="AE1053" i="1" s="1"/>
  <c r="AD1052" i="1"/>
  <c r="AC1052" i="1"/>
  <c r="AB1052" i="1"/>
  <c r="AA1052" i="1"/>
  <c r="Z1052" i="1"/>
  <c r="Y1052" i="1"/>
  <c r="W1052" i="1"/>
  <c r="V1052" i="1"/>
  <c r="U1052" i="1"/>
  <c r="T1052" i="1"/>
  <c r="S1052" i="1"/>
  <c r="R1052" i="1"/>
  <c r="Q1052" i="1"/>
  <c r="T1049" i="1"/>
  <c r="S1049" i="1"/>
  <c r="R1049" i="1"/>
  <c r="Q1049" i="1"/>
  <c r="U1046" i="1"/>
  <c r="U1047" i="1" s="1"/>
  <c r="T1046" i="1"/>
  <c r="S1046" i="1"/>
  <c r="R1046" i="1"/>
  <c r="Q1046" i="1"/>
  <c r="U1043" i="1"/>
  <c r="U1044" i="1" s="1"/>
  <c r="T1043" i="1"/>
  <c r="S1043" i="1"/>
  <c r="R1043" i="1"/>
  <c r="Q1043" i="1"/>
  <c r="U1040" i="1"/>
  <c r="U1041" i="1" s="1"/>
  <c r="T1040" i="1"/>
  <c r="S1040" i="1"/>
  <c r="R1040" i="1"/>
  <c r="Q1040" i="1"/>
  <c r="Y1037" i="1"/>
  <c r="Y1038" i="1" s="1"/>
  <c r="W1037" i="1"/>
  <c r="W1038" i="1" s="1"/>
  <c r="V1037" i="1"/>
  <c r="V1038" i="1" s="1"/>
  <c r="U1037" i="1"/>
  <c r="U1038" i="1" s="1"/>
  <c r="T1037" i="1"/>
  <c r="S1037" i="1"/>
  <c r="R1037" i="1"/>
  <c r="Q1037" i="1"/>
  <c r="AR1648" i="1" l="1"/>
  <c r="AR1655" i="1"/>
  <c r="AR1656" i="1" s="1"/>
  <c r="AS1720" i="1"/>
  <c r="AS1735" i="1"/>
  <c r="AS1736" i="1" s="1"/>
  <c r="AR1735" i="1"/>
  <c r="AR1736" i="1" s="1"/>
  <c r="AR1720" i="1"/>
  <c r="AS1688" i="1"/>
  <c r="AS1689" i="1" s="1"/>
  <c r="AS1676" i="1"/>
  <c r="AR1688" i="1"/>
  <c r="AR1689" i="1" s="1"/>
  <c r="AR1676" i="1"/>
  <c r="AS1655" i="1"/>
  <c r="AS1656" i="1" s="1"/>
  <c r="AS1648" i="1"/>
  <c r="AQ1688" i="1"/>
  <c r="AQ1689" i="1" s="1"/>
  <c r="AQ1720" i="1"/>
  <c r="AQ1735" i="1"/>
  <c r="AQ1736" i="1" s="1"/>
  <c r="AF1080" i="1"/>
  <c r="AC1088" i="1"/>
  <c r="AC1089" i="1" s="1"/>
  <c r="Y1088" i="1"/>
  <c r="Y1089" i="1" s="1"/>
  <c r="AA1088" i="1"/>
  <c r="AA1089" i="1" s="1"/>
  <c r="AF1083" i="1"/>
  <c r="AE1082" i="1"/>
  <c r="AE1083" i="1" s="1"/>
  <c r="Z1088" i="1"/>
  <c r="Z1089" i="1" s="1"/>
  <c r="AC1076" i="1"/>
  <c r="AC1077" i="1" s="1"/>
  <c r="AE1088" i="1"/>
  <c r="AB1086" i="1"/>
  <c r="AD1088" i="1"/>
  <c r="AD1089" i="1" s="1"/>
  <c r="AB1089" i="1"/>
  <c r="V1076" i="1"/>
  <c r="W1076" i="1"/>
  <c r="W1077" i="1" s="1"/>
  <c r="AA1076" i="1"/>
  <c r="AA1077" i="1" s="1"/>
  <c r="AB1076" i="1"/>
  <c r="AB1077" i="1" s="1"/>
  <c r="AD1076" i="1"/>
  <c r="AD1077" i="1" s="1"/>
  <c r="Y1076" i="1"/>
  <c r="Y1077" i="1" s="1"/>
  <c r="AE1076" i="1"/>
  <c r="AE1077" i="1" s="1"/>
  <c r="Z1076" i="1"/>
  <c r="Z1077" i="1" s="1"/>
  <c r="U1076" i="1"/>
  <c r="AF1091" i="1"/>
  <c r="AB1071" i="1"/>
  <c r="AE1090" i="1"/>
  <c r="AF1090" i="1"/>
  <c r="AF1089" i="1"/>
  <c r="AF1086" i="1"/>
  <c r="Q1645" i="1"/>
  <c r="S1075" i="1"/>
  <c r="T1075" i="1"/>
  <c r="S1076" i="1"/>
  <c r="T1076" i="1"/>
  <c r="R1076" i="1"/>
  <c r="R1075" i="1"/>
  <c r="Q1076" i="1"/>
  <c r="Q1075" i="1"/>
  <c r="AE1727" i="1" l="1"/>
  <c r="AE1732" i="1" s="1"/>
  <c r="AE1684" i="1"/>
  <c r="AE1089" i="1"/>
  <c r="AE1091" i="1"/>
  <c r="AF1092" i="1"/>
  <c r="AF1684" i="1"/>
  <c r="AF1727" i="1"/>
  <c r="AF1732" i="1" s="1"/>
  <c r="V1077" i="1"/>
  <c r="U1077" i="1"/>
  <c r="T1077" i="1"/>
  <c r="S1077" i="1"/>
  <c r="AE1092" i="1" l="1"/>
  <c r="K1075" i="1"/>
  <c r="K1074" i="1"/>
  <c r="Q1074" i="1"/>
  <c r="K1056" i="1"/>
  <c r="Y1056" i="1"/>
  <c r="W1056" i="1"/>
  <c r="V1056" i="1"/>
  <c r="U1056" i="1"/>
  <c r="T1056" i="1"/>
  <c r="S1056" i="1"/>
  <c r="R1056" i="1"/>
  <c r="Q1056" i="1"/>
  <c r="K1050" i="1"/>
  <c r="T1050" i="1"/>
  <c r="S1050" i="1"/>
  <c r="R1050" i="1"/>
  <c r="Q1050" i="1"/>
  <c r="K1038" i="1" l="1"/>
  <c r="T1038" i="1"/>
  <c r="S1038" i="1"/>
  <c r="R1038" i="1"/>
  <c r="Q1038" i="1"/>
  <c r="S1081" i="1"/>
  <c r="T1081" i="1"/>
  <c r="U1081" i="1"/>
  <c r="V1081" i="1"/>
  <c r="W1081" i="1"/>
  <c r="Y1081" i="1"/>
  <c r="Y1090" i="1" s="1"/>
  <c r="Z1081" i="1"/>
  <c r="AA1081" i="1"/>
  <c r="AA1090" i="1" s="1"/>
  <c r="AB1081" i="1"/>
  <c r="AC1081" i="1"/>
  <c r="AC1090" i="1" s="1"/>
  <c r="AD1081" i="1"/>
  <c r="S1082" i="1"/>
  <c r="T1082" i="1"/>
  <c r="U1082" i="1"/>
  <c r="V1082" i="1"/>
  <c r="W1082" i="1"/>
  <c r="W1083" i="1" s="1"/>
  <c r="Y1082" i="1"/>
  <c r="Z1082" i="1"/>
  <c r="AA1082" i="1"/>
  <c r="AB1082" i="1"/>
  <c r="AC1082" i="1"/>
  <c r="AD1082" i="1"/>
  <c r="R1082" i="1"/>
  <c r="R1081" i="1"/>
  <c r="Q1082" i="1"/>
  <c r="Q1081" i="1"/>
  <c r="K1082" i="1"/>
  <c r="K1081" i="1"/>
  <c r="S1087" i="1"/>
  <c r="T1087" i="1"/>
  <c r="U1087" i="1"/>
  <c r="V1087" i="1"/>
  <c r="W1087" i="1"/>
  <c r="S1088" i="1"/>
  <c r="T1088" i="1"/>
  <c r="U1088" i="1"/>
  <c r="V1088" i="1"/>
  <c r="W1088" i="1"/>
  <c r="Q1088" i="1"/>
  <c r="Q1087" i="1"/>
  <c r="R1088" i="1"/>
  <c r="R1087" i="1"/>
  <c r="K1088" i="1"/>
  <c r="K1087" i="1"/>
  <c r="K1086" i="1"/>
  <c r="W1086" i="1"/>
  <c r="V1086" i="1"/>
  <c r="U1086" i="1"/>
  <c r="T1086" i="1"/>
  <c r="S1086" i="1"/>
  <c r="R1086" i="1"/>
  <c r="Q1086" i="1"/>
  <c r="K1080" i="1"/>
  <c r="K1071" i="1"/>
  <c r="T1071" i="1"/>
  <c r="S1071" i="1"/>
  <c r="R1071" i="1"/>
  <c r="Q1071" i="1"/>
  <c r="K1041" i="1"/>
  <c r="T1041" i="1"/>
  <c r="S1041" i="1"/>
  <c r="R1041" i="1"/>
  <c r="Q1041" i="1"/>
  <c r="K1059" i="1"/>
  <c r="AC1059" i="1"/>
  <c r="AA1059" i="1"/>
  <c r="Z1059" i="1"/>
  <c r="Y1059" i="1"/>
  <c r="W1059" i="1"/>
  <c r="V1059" i="1"/>
  <c r="U1059" i="1"/>
  <c r="T1059" i="1"/>
  <c r="S1059" i="1"/>
  <c r="R1059" i="1"/>
  <c r="Q1059" i="1"/>
  <c r="K1065" i="1"/>
  <c r="T1065" i="1"/>
  <c r="S1065" i="1"/>
  <c r="R1065" i="1"/>
  <c r="Q1065" i="1"/>
  <c r="K1062" i="1"/>
  <c r="Y1062" i="1"/>
  <c r="W1062" i="1"/>
  <c r="V1062" i="1"/>
  <c r="U1062" i="1"/>
  <c r="T1062" i="1"/>
  <c r="S1062" i="1"/>
  <c r="R1062" i="1"/>
  <c r="Q1062" i="1"/>
  <c r="K1053" i="1"/>
  <c r="AD1053" i="1"/>
  <c r="AC1053" i="1"/>
  <c r="AB1053" i="1"/>
  <c r="AA1053" i="1"/>
  <c r="Z1053" i="1"/>
  <c r="Y1053" i="1"/>
  <c r="W1053" i="1"/>
  <c r="V1053" i="1"/>
  <c r="U1053" i="1"/>
  <c r="T1053" i="1"/>
  <c r="S1053" i="1"/>
  <c r="R1053" i="1"/>
  <c r="Q1053" i="1"/>
  <c r="K1047" i="1"/>
  <c r="T1047" i="1"/>
  <c r="S1047" i="1"/>
  <c r="R1047" i="1"/>
  <c r="Q1047" i="1"/>
  <c r="K1044" i="1"/>
  <c r="T1044" i="1"/>
  <c r="S1044" i="1"/>
  <c r="R1044" i="1"/>
  <c r="Q1044" i="1"/>
  <c r="K1068" i="1"/>
  <c r="T1068" i="1"/>
  <c r="S1068" i="1"/>
  <c r="R1068" i="1"/>
  <c r="Q1068" i="1"/>
  <c r="Q213" i="1"/>
  <c r="S1716" i="1"/>
  <c r="T1695" i="1"/>
  <c r="T1694" i="1"/>
  <c r="S1695" i="1"/>
  <c r="R1716" i="1"/>
  <c r="R1695" i="1"/>
  <c r="R1694" i="1"/>
  <c r="Q1716" i="1"/>
  <c r="Q1695" i="1"/>
  <c r="Q1694" i="1"/>
  <c r="P1716" i="1"/>
  <c r="P1695" i="1"/>
  <c r="P1694" i="1"/>
  <c r="T253" i="1"/>
  <c r="T252" i="1"/>
  <c r="R252" i="1"/>
  <c r="S252" i="1"/>
  <c r="Q252" i="1"/>
  <c r="P252" i="1"/>
  <c r="S1083" i="1" l="1"/>
  <c r="V1083" i="1"/>
  <c r="AD1083" i="1"/>
  <c r="AA1083" i="1"/>
  <c r="AC1083" i="1"/>
  <c r="Z1083" i="1"/>
  <c r="AB1083" i="1"/>
  <c r="Y1083" i="1"/>
  <c r="U1083" i="1"/>
  <c r="T276" i="1"/>
  <c r="T277" i="1"/>
  <c r="T1083" i="1"/>
  <c r="U1090" i="1"/>
  <c r="Q1083" i="1"/>
  <c r="S1090" i="1"/>
  <c r="W1089" i="1"/>
  <c r="U1089" i="1"/>
  <c r="S1089" i="1"/>
  <c r="Q1090" i="1"/>
  <c r="V1089" i="1"/>
  <c r="T1089" i="1"/>
  <c r="K1083" i="1"/>
  <c r="K1091" i="1"/>
  <c r="K1077" i="1"/>
  <c r="W1080" i="1"/>
  <c r="W1090" i="1"/>
  <c r="S1080" i="1"/>
  <c r="AA1080" i="1"/>
  <c r="Q1089" i="1"/>
  <c r="R1083" i="1"/>
  <c r="K1090" i="1"/>
  <c r="R1090" i="1"/>
  <c r="T254" i="1"/>
  <c r="Q1080" i="1"/>
  <c r="U1080" i="1"/>
  <c r="Y1080" i="1"/>
  <c r="AC1080" i="1"/>
  <c r="Q1077" i="1"/>
  <c r="T1090" i="1"/>
  <c r="V1090" i="1"/>
  <c r="Z1090" i="1"/>
  <c r="AB1090" i="1"/>
  <c r="AD1090" i="1"/>
  <c r="AB1059" i="1"/>
  <c r="AD1059" i="1"/>
  <c r="R1089" i="1"/>
  <c r="R1077" i="1"/>
  <c r="K1089" i="1"/>
  <c r="R1080" i="1"/>
  <c r="T1080" i="1"/>
  <c r="V1080" i="1"/>
  <c r="Z1080" i="1"/>
  <c r="AB1080" i="1"/>
  <c r="AD1080" i="1"/>
  <c r="K1092" i="1" l="1"/>
  <c r="T1091" i="1"/>
  <c r="R1091" i="1"/>
  <c r="S1091" i="1"/>
  <c r="V1091" i="1"/>
  <c r="AD1091" i="1"/>
  <c r="AB1091" i="1"/>
  <c r="Z1091" i="1"/>
  <c r="AA1091" i="1"/>
  <c r="W1091" i="1"/>
  <c r="AC1091" i="1"/>
  <c r="Y1091" i="1"/>
  <c r="U1091" i="1"/>
  <c r="Q1091" i="1"/>
  <c r="S214" i="1"/>
  <c r="S213" i="1"/>
  <c r="R213" i="1"/>
  <c r="P213" i="1"/>
  <c r="K214" i="1"/>
  <c r="K213" i="1"/>
  <c r="AC1092" i="1" l="1"/>
  <c r="AB1092" i="1"/>
  <c r="W1092" i="1"/>
  <c r="AD1092" i="1"/>
  <c r="T1092" i="1"/>
  <c r="U1092" i="1"/>
  <c r="AA1092" i="1"/>
  <c r="V1092" i="1"/>
  <c r="Y1092" i="1"/>
  <c r="Z1092" i="1"/>
  <c r="S1092" i="1"/>
  <c r="R1092" i="1"/>
  <c r="Q1092" i="1"/>
  <c r="AD929" i="1" l="1"/>
  <c r="AD1008" i="1"/>
  <c r="AD1017" i="1"/>
  <c r="AC1017" i="1"/>
  <c r="AB1017" i="1"/>
  <c r="AA1017" i="1"/>
  <c r="Z1017" i="1"/>
  <c r="Y1017" i="1"/>
  <c r="W1660" i="1"/>
  <c r="V1645" i="1"/>
  <c r="W1697" i="1" l="1"/>
  <c r="U1645" i="1"/>
  <c r="T1728" i="1"/>
  <c r="T1729" i="1"/>
  <c r="T1707" i="1"/>
  <c r="T1708" i="1"/>
  <c r="T1709" i="1"/>
  <c r="T1670" i="1"/>
  <c r="T1710" i="1" l="1"/>
  <c r="S1728" i="1"/>
  <c r="S1729" i="1"/>
  <c r="S1707" i="1"/>
  <c r="S1708" i="1"/>
  <c r="S1645" i="1"/>
  <c r="R1728" i="1"/>
  <c r="R1729" i="1"/>
  <c r="R1707" i="1"/>
  <c r="R1708" i="1"/>
  <c r="R1645" i="1" l="1"/>
  <c r="Q1728" i="1" l="1"/>
  <c r="Q1729" i="1"/>
  <c r="Q1707" i="1"/>
  <c r="Q1708" i="1"/>
  <c r="P1008" i="1"/>
  <c r="P1017" i="1"/>
  <c r="P1029" i="1"/>
  <c r="P1645" i="1"/>
  <c r="Y1027" i="1"/>
  <c r="W1027" i="1"/>
  <c r="V1027" i="1"/>
  <c r="U1027" i="1"/>
  <c r="T1027" i="1"/>
  <c r="S1027" i="1"/>
  <c r="R1027" i="1"/>
  <c r="Q1027" i="1"/>
  <c r="P1027" i="1"/>
  <c r="AA1029" i="1"/>
  <c r="AB1029" i="1"/>
  <c r="AC1029" i="1"/>
  <c r="AD1029" i="1"/>
  <c r="Z1029" i="1"/>
  <c r="Y1024" i="1"/>
  <c r="AD1024" i="1"/>
  <c r="AD1030" i="1" s="1"/>
  <c r="AC1024" i="1"/>
  <c r="AC1030" i="1" s="1"/>
  <c r="AB1024" i="1"/>
  <c r="AB1030" i="1" s="1"/>
  <c r="AA1024" i="1"/>
  <c r="AA1030" i="1" s="1"/>
  <c r="Z1024" i="1"/>
  <c r="Z1030" i="1" s="1"/>
  <c r="W1024" i="1"/>
  <c r="V1024" i="1"/>
  <c r="U1024" i="1"/>
  <c r="T1024" i="1"/>
  <c r="S1024" i="1"/>
  <c r="R1024" i="1"/>
  <c r="Q1024" i="1"/>
  <c r="P1024" i="1"/>
  <c r="Y1021" i="1"/>
  <c r="W1021" i="1"/>
  <c r="V1021" i="1"/>
  <c r="U1021" i="1"/>
  <c r="T1021" i="1"/>
  <c r="S1021" i="1"/>
  <c r="R1021" i="1"/>
  <c r="Q1021" i="1"/>
  <c r="P1021" i="1"/>
  <c r="P1032" i="1" l="1"/>
  <c r="AD1032" i="1"/>
  <c r="K1018" i="1"/>
  <c r="AD1015" i="1"/>
  <c r="AD1016" i="1" s="1"/>
  <c r="AC1015" i="1"/>
  <c r="AC1016" i="1" s="1"/>
  <c r="AB1015" i="1"/>
  <c r="AB1016" i="1" s="1"/>
  <c r="AA1015" i="1"/>
  <c r="AA1016" i="1" s="1"/>
  <c r="Z1015" i="1"/>
  <c r="Z1016" i="1" s="1"/>
  <c r="Y1015" i="1"/>
  <c r="Y1016" i="1" s="1"/>
  <c r="W1015" i="1"/>
  <c r="W1016" i="1" s="1"/>
  <c r="V1015" i="1"/>
  <c r="V1016" i="1" s="1"/>
  <c r="U1015" i="1"/>
  <c r="U1016" i="1" s="1"/>
  <c r="T1015" i="1"/>
  <c r="T1016" i="1" s="1"/>
  <c r="S1015" i="1"/>
  <c r="S1016" i="1" s="1"/>
  <c r="R1015" i="1"/>
  <c r="R1016" i="1" s="1"/>
  <c r="Q1015" i="1"/>
  <c r="Q1016" i="1" s="1"/>
  <c r="P1015" i="1"/>
  <c r="P1016" i="1" s="1"/>
  <c r="AD1012" i="1"/>
  <c r="AD1013" i="1" s="1"/>
  <c r="AC1012" i="1"/>
  <c r="AC1013" i="1" s="1"/>
  <c r="Z1012" i="1"/>
  <c r="Z1013" i="1" s="1"/>
  <c r="AB1012" i="1"/>
  <c r="AB1013" i="1" s="1"/>
  <c r="AA1012" i="1"/>
  <c r="AA1013" i="1" s="1"/>
  <c r="Y1012" i="1"/>
  <c r="Y1013" i="1" s="1"/>
  <c r="W1012" i="1"/>
  <c r="W1013" i="1" s="1"/>
  <c r="V1012" i="1"/>
  <c r="V1013" i="1" s="1"/>
  <c r="U1012" i="1"/>
  <c r="U1013" i="1" s="1"/>
  <c r="T1012" i="1"/>
  <c r="T1013" i="1" s="1"/>
  <c r="S1012" i="1"/>
  <c r="S1013" i="1" s="1"/>
  <c r="R1012" i="1"/>
  <c r="R1013" i="1" s="1"/>
  <c r="Q1012" i="1"/>
  <c r="Q1013" i="1" s="1"/>
  <c r="P1012" i="1"/>
  <c r="P1022" i="1"/>
  <c r="P1025" i="1"/>
  <c r="AB1031" i="1"/>
  <c r="AC1031" i="1"/>
  <c r="AD1031" i="1"/>
  <c r="R1029" i="1"/>
  <c r="S1029" i="1"/>
  <c r="T1029" i="1"/>
  <c r="U1029" i="1"/>
  <c r="V1029" i="1"/>
  <c r="W1029" i="1"/>
  <c r="Y1029" i="1"/>
  <c r="R1030" i="1"/>
  <c r="S1030" i="1"/>
  <c r="T1030" i="1"/>
  <c r="U1030" i="1"/>
  <c r="V1030" i="1"/>
  <c r="W1030" i="1"/>
  <c r="Y1030" i="1"/>
  <c r="Q1029" i="1"/>
  <c r="Q1030" i="1"/>
  <c r="P1030" i="1"/>
  <c r="Y1028" i="1"/>
  <c r="W1028" i="1"/>
  <c r="V1028" i="1"/>
  <c r="U1028" i="1"/>
  <c r="T1028" i="1"/>
  <c r="S1028" i="1"/>
  <c r="R1028" i="1"/>
  <c r="Q1028" i="1"/>
  <c r="P1028" i="1"/>
  <c r="AD1025" i="1"/>
  <c r="AC1025" i="1"/>
  <c r="AB1025" i="1"/>
  <c r="AA1025" i="1"/>
  <c r="Z1025" i="1"/>
  <c r="Y1025" i="1"/>
  <c r="W1025" i="1"/>
  <c r="V1025" i="1"/>
  <c r="U1025" i="1"/>
  <c r="T1025" i="1"/>
  <c r="S1025" i="1"/>
  <c r="R1025" i="1"/>
  <c r="Q1025" i="1"/>
  <c r="Y1022" i="1"/>
  <c r="W1022" i="1"/>
  <c r="V1022" i="1"/>
  <c r="U1022" i="1"/>
  <c r="T1022" i="1"/>
  <c r="S1022" i="1"/>
  <c r="R1022" i="1"/>
  <c r="Q1022" i="1"/>
  <c r="W1031" i="1" l="1"/>
  <c r="V1031" i="1"/>
  <c r="Y1031" i="1"/>
  <c r="AD1684" i="1"/>
  <c r="Y1018" i="1"/>
  <c r="AA1018" i="1"/>
  <c r="AC1018" i="1"/>
  <c r="AD1727" i="1"/>
  <c r="AD1732" i="1" s="1"/>
  <c r="Z1018" i="1"/>
  <c r="AB1018" i="1"/>
  <c r="AD1018" i="1"/>
  <c r="P1018" i="1"/>
  <c r="U1031" i="1"/>
  <c r="T1031" i="1"/>
  <c r="Z1031" i="1"/>
  <c r="S1031" i="1"/>
  <c r="R1031" i="1"/>
  <c r="Q1031" i="1"/>
  <c r="AA1031" i="1"/>
  <c r="AA1008" i="1" l="1"/>
  <c r="AA1032" i="1" s="1"/>
  <c r="AB1008" i="1"/>
  <c r="AB1032" i="1" s="1"/>
  <c r="AC1008" i="1"/>
  <c r="AC1032" i="1" s="1"/>
  <c r="Z1008" i="1"/>
  <c r="Z1032" i="1" s="1"/>
  <c r="Y1008" i="1"/>
  <c r="Y1032" i="1" s="1"/>
  <c r="W1008" i="1"/>
  <c r="V1008" i="1"/>
  <c r="U1008" i="1"/>
  <c r="T1008" i="1"/>
  <c r="R1008" i="1"/>
  <c r="Q1008" i="1"/>
  <c r="AD946" i="1"/>
  <c r="AD947" i="1" s="1"/>
  <c r="AC946" i="1"/>
  <c r="AC947" i="1" s="1"/>
  <c r="AB946" i="1"/>
  <c r="AB947" i="1" s="1"/>
  <c r="AA946" i="1"/>
  <c r="AA947" i="1" s="1"/>
  <c r="Z946" i="1"/>
  <c r="Z947" i="1" s="1"/>
  <c r="Y946" i="1"/>
  <c r="Y947" i="1" s="1"/>
  <c r="W946" i="1"/>
  <c r="W947" i="1" s="1"/>
  <c r="V946" i="1"/>
  <c r="V947" i="1" s="1"/>
  <c r="U946" i="1"/>
  <c r="U947" i="1" s="1"/>
  <c r="T946" i="1"/>
  <c r="T947" i="1" s="1"/>
  <c r="S946" i="1"/>
  <c r="S947" i="1" s="1"/>
  <c r="R946" i="1"/>
  <c r="Q946" i="1"/>
  <c r="P946" i="1"/>
  <c r="T949" i="1"/>
  <c r="T950" i="1" s="1"/>
  <c r="Y949" i="1"/>
  <c r="Y950" i="1" s="1"/>
  <c r="W949" i="1"/>
  <c r="W950" i="1" s="1"/>
  <c r="V949" i="1"/>
  <c r="V950" i="1" s="1"/>
  <c r="U949" i="1"/>
  <c r="U950" i="1" s="1"/>
  <c r="S949" i="1"/>
  <c r="S950" i="1" s="1"/>
  <c r="R949" i="1"/>
  <c r="Q949" i="1"/>
  <c r="P949" i="1"/>
  <c r="Y952" i="1"/>
  <c r="Y953" i="1" s="1"/>
  <c r="W952" i="1"/>
  <c r="W953" i="1" s="1"/>
  <c r="V952" i="1"/>
  <c r="V953" i="1" s="1"/>
  <c r="U952" i="1"/>
  <c r="U953" i="1" s="1"/>
  <c r="T952" i="1"/>
  <c r="T953" i="1" s="1"/>
  <c r="S952" i="1"/>
  <c r="S953" i="1" s="1"/>
  <c r="R952" i="1"/>
  <c r="Q952" i="1"/>
  <c r="P952" i="1"/>
  <c r="K1030" i="1"/>
  <c r="K1029" i="1"/>
  <c r="K1028" i="1"/>
  <c r="K1025" i="1"/>
  <c r="K1022" i="1"/>
  <c r="M1022" i="1"/>
  <c r="L1022" i="1"/>
  <c r="N1021" i="1"/>
  <c r="N1022" i="1" s="1"/>
  <c r="M1031" i="1"/>
  <c r="L1031" i="1"/>
  <c r="N1029" i="1"/>
  <c r="M1028" i="1"/>
  <c r="L1028" i="1"/>
  <c r="N1027" i="1"/>
  <c r="N1030" i="1" s="1"/>
  <c r="M1025" i="1"/>
  <c r="L1025" i="1"/>
  <c r="N1024" i="1"/>
  <c r="N1025" i="1" s="1"/>
  <c r="K934" i="1"/>
  <c r="K937" i="1"/>
  <c r="K1009" i="1"/>
  <c r="K1008" i="1"/>
  <c r="Y958" i="1"/>
  <c r="Y959" i="1" s="1"/>
  <c r="W958" i="1"/>
  <c r="W959" i="1" s="1"/>
  <c r="V958" i="1"/>
  <c r="V959" i="1" s="1"/>
  <c r="U958" i="1"/>
  <c r="U959" i="1" s="1"/>
  <c r="T958" i="1"/>
  <c r="T959" i="1" s="1"/>
  <c r="S958" i="1"/>
  <c r="R958" i="1"/>
  <c r="Q958" i="1"/>
  <c r="P958" i="1"/>
  <c r="AD964" i="1"/>
  <c r="AD965" i="1" s="1"/>
  <c r="AC964" i="1"/>
  <c r="AC965" i="1" s="1"/>
  <c r="AB964" i="1"/>
  <c r="AB965" i="1" s="1"/>
  <c r="AA964" i="1"/>
  <c r="AA965" i="1" s="1"/>
  <c r="Z964" i="1"/>
  <c r="Z965" i="1" s="1"/>
  <c r="Y964" i="1"/>
  <c r="Y965" i="1" s="1"/>
  <c r="W964" i="1"/>
  <c r="W965" i="1" s="1"/>
  <c r="V964" i="1"/>
  <c r="V965" i="1" s="1"/>
  <c r="U964" i="1"/>
  <c r="U965" i="1" s="1"/>
  <c r="T964" i="1"/>
  <c r="T965" i="1" s="1"/>
  <c r="S964" i="1"/>
  <c r="S965" i="1" s="1"/>
  <c r="R964" i="1"/>
  <c r="Q964" i="1"/>
  <c r="P964" i="1"/>
  <c r="Y967" i="1"/>
  <c r="Y968" i="1" s="1"/>
  <c r="W967" i="1"/>
  <c r="W968" i="1" s="1"/>
  <c r="V967" i="1"/>
  <c r="V968" i="1" s="1"/>
  <c r="U967" i="1"/>
  <c r="U968" i="1" s="1"/>
  <c r="T967" i="1"/>
  <c r="T968" i="1" s="1"/>
  <c r="S967" i="1"/>
  <c r="S968" i="1" s="1"/>
  <c r="R967" i="1"/>
  <c r="Q967" i="1"/>
  <c r="P967" i="1"/>
  <c r="P968" i="1" s="1"/>
  <c r="AD973" i="1"/>
  <c r="AD974" i="1" s="1"/>
  <c r="AC973" i="1"/>
  <c r="AC974" i="1" s="1"/>
  <c r="AB973" i="1"/>
  <c r="AB974" i="1" s="1"/>
  <c r="AA973" i="1"/>
  <c r="AA974" i="1" s="1"/>
  <c r="Z973" i="1"/>
  <c r="Z974" i="1" s="1"/>
  <c r="Y973" i="1"/>
  <c r="Y974" i="1" s="1"/>
  <c r="W973" i="1"/>
  <c r="W974" i="1" s="1"/>
  <c r="V973" i="1"/>
  <c r="V974" i="1" s="1"/>
  <c r="U973" i="1"/>
  <c r="U974" i="1" s="1"/>
  <c r="T973" i="1"/>
  <c r="T974" i="1" s="1"/>
  <c r="S973" i="1"/>
  <c r="S974" i="1" s="1"/>
  <c r="R973" i="1"/>
  <c r="R974" i="1" s="1"/>
  <c r="Q973" i="1"/>
  <c r="Q974" i="1" s="1"/>
  <c r="P973" i="1"/>
  <c r="P974" i="1" s="1"/>
  <c r="W991" i="1"/>
  <c r="W992" i="1" s="1"/>
  <c r="V991" i="1"/>
  <c r="V992" i="1" s="1"/>
  <c r="U991" i="1"/>
  <c r="U992" i="1" s="1"/>
  <c r="T991" i="1"/>
  <c r="T992" i="1" s="1"/>
  <c r="S991" i="1"/>
  <c r="S992" i="1" s="1"/>
  <c r="R991" i="1"/>
  <c r="Q991" i="1"/>
  <c r="Q992" i="1" s="1"/>
  <c r="P991" i="1"/>
  <c r="P992" i="1" s="1"/>
  <c r="P994" i="1"/>
  <c r="Q994" i="1"/>
  <c r="Q995" i="1" s="1"/>
  <c r="R994" i="1"/>
  <c r="R995" i="1" s="1"/>
  <c r="S994" i="1"/>
  <c r="S995" i="1" s="1"/>
  <c r="P997" i="1"/>
  <c r="P998" i="1" s="1"/>
  <c r="AD997" i="1"/>
  <c r="AD998" i="1" s="1"/>
  <c r="AC997" i="1"/>
  <c r="AB997" i="1"/>
  <c r="AB998" i="1" s="1"/>
  <c r="AA997" i="1"/>
  <c r="AA998" i="1" s="1"/>
  <c r="Z997" i="1"/>
  <c r="Y997" i="1"/>
  <c r="W997" i="1"/>
  <c r="V997" i="1"/>
  <c r="V998" i="1" s="1"/>
  <c r="U997" i="1"/>
  <c r="U998" i="1" s="1"/>
  <c r="T997" i="1"/>
  <c r="T998" i="1" s="1"/>
  <c r="S997" i="1"/>
  <c r="S998" i="1" s="1"/>
  <c r="R997" i="1"/>
  <c r="R998" i="1" s="1"/>
  <c r="Q997" i="1"/>
  <c r="Q998" i="1" s="1"/>
  <c r="U1000" i="1"/>
  <c r="U1001" i="1" s="1"/>
  <c r="T1000" i="1"/>
  <c r="T1001" i="1" s="1"/>
  <c r="S1000" i="1"/>
  <c r="S1001" i="1" s="1"/>
  <c r="R1000" i="1"/>
  <c r="R1001" i="1" s="1"/>
  <c r="Q1000" i="1"/>
  <c r="Q1001" i="1" s="1"/>
  <c r="P1000" i="1"/>
  <c r="P1001" i="1" s="1"/>
  <c r="V1006" i="1"/>
  <c r="V1007" i="1" s="1"/>
  <c r="U1006" i="1"/>
  <c r="U1007" i="1" s="1"/>
  <c r="T1006" i="1"/>
  <c r="T1007" i="1" s="1"/>
  <c r="S1006" i="1"/>
  <c r="S1007" i="1" s="1"/>
  <c r="R1006" i="1"/>
  <c r="R1007" i="1" s="1"/>
  <c r="Q1006" i="1"/>
  <c r="Q1007" i="1" s="1"/>
  <c r="P1006" i="1"/>
  <c r="P1007" i="1" s="1"/>
  <c r="N1004" i="1"/>
  <c r="M1004" i="1"/>
  <c r="L1004" i="1"/>
  <c r="K1004" i="1"/>
  <c r="T1003" i="1"/>
  <c r="T1004" i="1" s="1"/>
  <c r="S1003" i="1"/>
  <c r="S1004" i="1" s="1"/>
  <c r="R1003" i="1"/>
  <c r="R1004" i="1" s="1"/>
  <c r="Q1003" i="1"/>
  <c r="Q1004" i="1" s="1"/>
  <c r="P1003" i="1"/>
  <c r="P1004" i="1" s="1"/>
  <c r="T988" i="1"/>
  <c r="T989" i="1" s="1"/>
  <c r="S988" i="1"/>
  <c r="S989" i="1" s="1"/>
  <c r="R988" i="1"/>
  <c r="R989" i="1" s="1"/>
  <c r="Q988" i="1"/>
  <c r="Q989" i="1" s="1"/>
  <c r="P988" i="1"/>
  <c r="P989" i="1" s="1"/>
  <c r="T985" i="1"/>
  <c r="T986" i="1" s="1"/>
  <c r="S985" i="1"/>
  <c r="S986" i="1" s="1"/>
  <c r="R985" i="1"/>
  <c r="R986" i="1" s="1"/>
  <c r="Q985" i="1"/>
  <c r="Q986" i="1" s="1"/>
  <c r="P985" i="1"/>
  <c r="P986" i="1" s="1"/>
  <c r="T982" i="1"/>
  <c r="T983" i="1" s="1"/>
  <c r="S982" i="1"/>
  <c r="S983" i="1" s="1"/>
  <c r="R982" i="1"/>
  <c r="Q982" i="1"/>
  <c r="P982" i="1"/>
  <c r="P983" i="1" s="1"/>
  <c r="T979" i="1"/>
  <c r="T980" i="1" s="1"/>
  <c r="S979" i="1"/>
  <c r="S978" i="1"/>
  <c r="S1008" i="1" s="1"/>
  <c r="R979" i="1"/>
  <c r="R980" i="1" s="1"/>
  <c r="Q979" i="1"/>
  <c r="Q980" i="1" s="1"/>
  <c r="P979" i="1"/>
  <c r="P980" i="1" s="1"/>
  <c r="T976" i="1"/>
  <c r="T977" i="1" s="1"/>
  <c r="S976" i="1"/>
  <c r="S977" i="1" s="1"/>
  <c r="R976" i="1"/>
  <c r="R977" i="1" s="1"/>
  <c r="Q976" i="1"/>
  <c r="Q977" i="1" s="1"/>
  <c r="P976" i="1"/>
  <c r="P977" i="1" s="1"/>
  <c r="T970" i="1"/>
  <c r="T971" i="1" s="1"/>
  <c r="S970" i="1"/>
  <c r="S971" i="1" s="1"/>
  <c r="R970" i="1"/>
  <c r="R971" i="1" s="1"/>
  <c r="Q970" i="1"/>
  <c r="Q971" i="1" s="1"/>
  <c r="P970" i="1"/>
  <c r="P971" i="1" s="1"/>
  <c r="T961" i="1"/>
  <c r="T962" i="1" s="1"/>
  <c r="S961" i="1"/>
  <c r="S962" i="1" s="1"/>
  <c r="R961" i="1"/>
  <c r="Q961" i="1"/>
  <c r="P961" i="1"/>
  <c r="T955" i="1"/>
  <c r="T956" i="1" s="1"/>
  <c r="S955" i="1"/>
  <c r="S956" i="1" s="1"/>
  <c r="R955" i="1"/>
  <c r="Q955" i="1"/>
  <c r="Q956" i="1" s="1"/>
  <c r="P955" i="1"/>
  <c r="K1016" i="1"/>
  <c r="K1013" i="1"/>
  <c r="K1007" i="1"/>
  <c r="L1007" i="1"/>
  <c r="M1007" i="1"/>
  <c r="N1007" i="1"/>
  <c r="K1001" i="1"/>
  <c r="K998" i="1"/>
  <c r="K995" i="1"/>
  <c r="K992" i="1"/>
  <c r="K989" i="1"/>
  <c r="K986" i="1"/>
  <c r="K983" i="1"/>
  <c r="K980" i="1"/>
  <c r="K977" i="1"/>
  <c r="K974" i="1"/>
  <c r="K971" i="1"/>
  <c r="K968" i="1"/>
  <c r="K965" i="1"/>
  <c r="K962" i="1"/>
  <c r="K959" i="1"/>
  <c r="K956" i="1"/>
  <c r="K953" i="1"/>
  <c r="K950" i="1"/>
  <c r="K947" i="1"/>
  <c r="M943" i="1"/>
  <c r="L943" i="1"/>
  <c r="M940" i="1"/>
  <c r="L940" i="1"/>
  <c r="N939" i="1"/>
  <c r="K939" i="1"/>
  <c r="AH938" i="1"/>
  <c r="AG938" i="1"/>
  <c r="AF938" i="1"/>
  <c r="AE938" i="1"/>
  <c r="AD938" i="1"/>
  <c r="AC938" i="1"/>
  <c r="AB938" i="1"/>
  <c r="AA938" i="1"/>
  <c r="Z938" i="1"/>
  <c r="Y938" i="1"/>
  <c r="W938" i="1"/>
  <c r="V938" i="1"/>
  <c r="U938" i="1"/>
  <c r="T938" i="1"/>
  <c r="S938" i="1"/>
  <c r="R938" i="1"/>
  <c r="Q938" i="1"/>
  <c r="P938" i="1"/>
  <c r="O938" i="1"/>
  <c r="N938" i="1"/>
  <c r="K938" i="1"/>
  <c r="N937" i="1"/>
  <c r="M937" i="1"/>
  <c r="L937" i="1"/>
  <c r="AH936" i="1"/>
  <c r="AH939" i="1" s="1"/>
  <c r="AG936" i="1"/>
  <c r="AG939" i="1" s="1"/>
  <c r="AF936" i="1"/>
  <c r="AF939" i="1" s="1"/>
  <c r="AE936" i="1"/>
  <c r="AE939" i="1" s="1"/>
  <c r="AD936" i="1"/>
  <c r="AD939" i="1" s="1"/>
  <c r="AC936" i="1"/>
  <c r="AC939" i="1" s="1"/>
  <c r="AB936" i="1"/>
  <c r="AB939" i="1" s="1"/>
  <c r="AA936" i="1"/>
  <c r="AA939" i="1" s="1"/>
  <c r="Z936" i="1"/>
  <c r="Z939" i="1" s="1"/>
  <c r="Y936" i="1"/>
  <c r="Y939" i="1" s="1"/>
  <c r="W936" i="1"/>
  <c r="V936" i="1"/>
  <c r="U936" i="1"/>
  <c r="T936" i="1"/>
  <c r="S936" i="1"/>
  <c r="R936" i="1"/>
  <c r="Q936" i="1"/>
  <c r="P936" i="1"/>
  <c r="O936" i="1"/>
  <c r="N934" i="1"/>
  <c r="M934" i="1"/>
  <c r="L934" i="1"/>
  <c r="W933" i="1"/>
  <c r="W934" i="1" s="1"/>
  <c r="V933" i="1"/>
  <c r="V934" i="1" s="1"/>
  <c r="U933" i="1"/>
  <c r="U934" i="1" s="1"/>
  <c r="T933" i="1"/>
  <c r="T934" i="1" s="1"/>
  <c r="S933" i="1"/>
  <c r="S934" i="1" s="1"/>
  <c r="R933" i="1"/>
  <c r="R934" i="1" s="1"/>
  <c r="Q933" i="1"/>
  <c r="Q934" i="1" s="1"/>
  <c r="P933" i="1"/>
  <c r="P934" i="1" s="1"/>
  <c r="O933" i="1"/>
  <c r="O934" i="1" s="1"/>
  <c r="M931" i="1"/>
  <c r="L931" i="1"/>
  <c r="N930" i="1"/>
  <c r="K930" i="1"/>
  <c r="AH929" i="1"/>
  <c r="AG929" i="1"/>
  <c r="AF929" i="1"/>
  <c r="AE929" i="1"/>
  <c r="AC929" i="1"/>
  <c r="AB929" i="1"/>
  <c r="AA929" i="1"/>
  <c r="Z929" i="1"/>
  <c r="Y929" i="1"/>
  <c r="W929" i="1"/>
  <c r="V929" i="1"/>
  <c r="U929" i="1"/>
  <c r="T929" i="1"/>
  <c r="S929" i="1"/>
  <c r="R929" i="1"/>
  <c r="Q929" i="1"/>
  <c r="P929" i="1"/>
  <c r="O929" i="1"/>
  <c r="N929" i="1"/>
  <c r="K929" i="1"/>
  <c r="N928" i="1"/>
  <c r="M928" i="1"/>
  <c r="L928" i="1"/>
  <c r="K928" i="1"/>
  <c r="W927" i="1"/>
  <c r="V927" i="1"/>
  <c r="U927" i="1"/>
  <c r="T927" i="1"/>
  <c r="S927" i="1"/>
  <c r="R927" i="1"/>
  <c r="Q927" i="1"/>
  <c r="P927" i="1"/>
  <c r="O927" i="1"/>
  <c r="N925" i="1"/>
  <c r="M925" i="1"/>
  <c r="L925" i="1"/>
  <c r="K925" i="1"/>
  <c r="S924" i="1"/>
  <c r="S925" i="1" s="1"/>
  <c r="R924" i="1"/>
  <c r="R925" i="1" s="1"/>
  <c r="Q924" i="1"/>
  <c r="Q925" i="1" s="1"/>
  <c r="P924" i="1"/>
  <c r="P925" i="1" s="1"/>
  <c r="O924" i="1"/>
  <c r="O925" i="1" s="1"/>
  <c r="N922" i="1"/>
  <c r="M922" i="1"/>
  <c r="L922" i="1"/>
  <c r="K922" i="1"/>
  <c r="R921" i="1"/>
  <c r="R922" i="1" s="1"/>
  <c r="Q921" i="1"/>
  <c r="Q922" i="1" s="1"/>
  <c r="P921" i="1"/>
  <c r="P922" i="1" s="1"/>
  <c r="O921" i="1"/>
  <c r="O922" i="1" s="1"/>
  <c r="N919" i="1"/>
  <c r="M919" i="1"/>
  <c r="L919" i="1"/>
  <c r="K919" i="1"/>
  <c r="S918" i="1"/>
  <c r="S919" i="1" s="1"/>
  <c r="R918" i="1"/>
  <c r="R919" i="1" s="1"/>
  <c r="Q918" i="1"/>
  <c r="Q919" i="1" s="1"/>
  <c r="P918" i="1"/>
  <c r="P919" i="1" s="1"/>
  <c r="O918" i="1"/>
  <c r="O919" i="1" s="1"/>
  <c r="N916" i="1"/>
  <c r="M916" i="1"/>
  <c r="L916" i="1"/>
  <c r="K916" i="1"/>
  <c r="S915" i="1"/>
  <c r="S916" i="1" s="1"/>
  <c r="R915" i="1"/>
  <c r="R916" i="1" s="1"/>
  <c r="Q915" i="1"/>
  <c r="Q916" i="1" s="1"/>
  <c r="P915" i="1"/>
  <c r="P916" i="1" s="1"/>
  <c r="O915" i="1"/>
  <c r="O916" i="1" s="1"/>
  <c r="N913" i="1"/>
  <c r="M913" i="1"/>
  <c r="L913" i="1"/>
  <c r="K913" i="1"/>
  <c r="S912" i="1"/>
  <c r="S913" i="1" s="1"/>
  <c r="R912" i="1"/>
  <c r="R913" i="1" s="1"/>
  <c r="Q912" i="1"/>
  <c r="Q913" i="1" s="1"/>
  <c r="P912" i="1"/>
  <c r="P913" i="1" s="1"/>
  <c r="O912" i="1"/>
  <c r="O913" i="1" s="1"/>
  <c r="N910" i="1"/>
  <c r="M910" i="1"/>
  <c r="L910" i="1"/>
  <c r="K910" i="1"/>
  <c r="S909" i="1"/>
  <c r="S910" i="1" s="1"/>
  <c r="R909" i="1"/>
  <c r="R910" i="1" s="1"/>
  <c r="Q909" i="1"/>
  <c r="Q910" i="1" s="1"/>
  <c r="P909" i="1"/>
  <c r="P910" i="1" s="1"/>
  <c r="O909" i="1"/>
  <c r="O910" i="1" s="1"/>
  <c r="N907" i="1"/>
  <c r="M907" i="1"/>
  <c r="L907" i="1"/>
  <c r="K907" i="1"/>
  <c r="T906" i="1"/>
  <c r="T907" i="1" s="1"/>
  <c r="S906" i="1"/>
  <c r="S907" i="1" s="1"/>
  <c r="R906" i="1"/>
  <c r="R907" i="1" s="1"/>
  <c r="Q906" i="1"/>
  <c r="Q907" i="1" s="1"/>
  <c r="P906" i="1"/>
  <c r="P907" i="1" s="1"/>
  <c r="O906" i="1"/>
  <c r="O907" i="1" s="1"/>
  <c r="N904" i="1"/>
  <c r="M904" i="1"/>
  <c r="L904" i="1"/>
  <c r="K904" i="1"/>
  <c r="S903" i="1"/>
  <c r="S904" i="1" s="1"/>
  <c r="R903" i="1"/>
  <c r="R904" i="1" s="1"/>
  <c r="Q903" i="1"/>
  <c r="Q904" i="1" s="1"/>
  <c r="P903" i="1"/>
  <c r="P904" i="1" s="1"/>
  <c r="O903" i="1"/>
  <c r="O904" i="1" s="1"/>
  <c r="N901" i="1"/>
  <c r="M901" i="1"/>
  <c r="L901" i="1"/>
  <c r="K901" i="1"/>
  <c r="S900" i="1"/>
  <c r="S901" i="1" s="1"/>
  <c r="R900" i="1"/>
  <c r="R901" i="1" s="1"/>
  <c r="Q900" i="1"/>
  <c r="Q901" i="1" s="1"/>
  <c r="P900" i="1"/>
  <c r="P901" i="1" s="1"/>
  <c r="O900" i="1"/>
  <c r="O901" i="1" s="1"/>
  <c r="N898" i="1"/>
  <c r="M898" i="1"/>
  <c r="L898" i="1"/>
  <c r="K898" i="1"/>
  <c r="S897" i="1"/>
  <c r="S898" i="1" s="1"/>
  <c r="R897" i="1"/>
  <c r="R898" i="1" s="1"/>
  <c r="Q897" i="1"/>
  <c r="Q898" i="1" s="1"/>
  <c r="P897" i="1"/>
  <c r="P898" i="1" s="1"/>
  <c r="O897" i="1"/>
  <c r="O898" i="1" s="1"/>
  <c r="N895" i="1"/>
  <c r="M895" i="1"/>
  <c r="L895" i="1"/>
  <c r="K895" i="1"/>
  <c r="R894" i="1"/>
  <c r="R895" i="1" s="1"/>
  <c r="Q894" i="1"/>
  <c r="Q895" i="1" s="1"/>
  <c r="P894" i="1"/>
  <c r="P895" i="1" s="1"/>
  <c r="O894" i="1"/>
  <c r="O895" i="1" s="1"/>
  <c r="N892" i="1"/>
  <c r="M892" i="1"/>
  <c r="L892" i="1"/>
  <c r="K892" i="1"/>
  <c r="S891" i="1"/>
  <c r="S892" i="1" s="1"/>
  <c r="R891" i="1"/>
  <c r="R892" i="1" s="1"/>
  <c r="Q891" i="1"/>
  <c r="Q892" i="1" s="1"/>
  <c r="P891" i="1"/>
  <c r="P892" i="1" s="1"/>
  <c r="O891" i="1"/>
  <c r="O892" i="1" s="1"/>
  <c r="N889" i="1"/>
  <c r="M889" i="1"/>
  <c r="L889" i="1"/>
  <c r="K889" i="1"/>
  <c r="W888" i="1"/>
  <c r="W889" i="1" s="1"/>
  <c r="V888" i="1"/>
  <c r="V889" i="1" s="1"/>
  <c r="U888" i="1"/>
  <c r="U889" i="1" s="1"/>
  <c r="T888" i="1"/>
  <c r="T889" i="1" s="1"/>
  <c r="S888" i="1"/>
  <c r="S889" i="1" s="1"/>
  <c r="R888" i="1"/>
  <c r="R889" i="1" s="1"/>
  <c r="Q888" i="1"/>
  <c r="Q889" i="1" s="1"/>
  <c r="P888" i="1"/>
  <c r="P889" i="1" s="1"/>
  <c r="O888" i="1"/>
  <c r="O889" i="1" s="1"/>
  <c r="N886" i="1"/>
  <c r="M886" i="1"/>
  <c r="L886" i="1"/>
  <c r="K886" i="1"/>
  <c r="S885" i="1"/>
  <c r="S886" i="1" s="1"/>
  <c r="R885" i="1"/>
  <c r="R886" i="1" s="1"/>
  <c r="Q885" i="1"/>
  <c r="Q886" i="1" s="1"/>
  <c r="P885" i="1"/>
  <c r="P886" i="1" s="1"/>
  <c r="O885" i="1"/>
  <c r="O886" i="1" s="1"/>
  <c r="N883" i="1"/>
  <c r="M883" i="1"/>
  <c r="L883" i="1"/>
  <c r="K883" i="1"/>
  <c r="T882" i="1"/>
  <c r="T883" i="1" s="1"/>
  <c r="S882" i="1"/>
  <c r="S883" i="1" s="1"/>
  <c r="R882" i="1"/>
  <c r="R883" i="1" s="1"/>
  <c r="Q882" i="1"/>
  <c r="Q883" i="1" s="1"/>
  <c r="P882" i="1"/>
  <c r="P883" i="1" s="1"/>
  <c r="O882" i="1"/>
  <c r="O883" i="1" s="1"/>
  <c r="N880" i="1"/>
  <c r="M880" i="1"/>
  <c r="L880" i="1"/>
  <c r="K880" i="1"/>
  <c r="S879" i="1"/>
  <c r="S880" i="1" s="1"/>
  <c r="R879" i="1"/>
  <c r="R880" i="1" s="1"/>
  <c r="Q879" i="1"/>
  <c r="Q880" i="1" s="1"/>
  <c r="P879" i="1"/>
  <c r="P880" i="1" s="1"/>
  <c r="O879" i="1"/>
  <c r="O880" i="1" s="1"/>
  <c r="N877" i="1"/>
  <c r="M877" i="1"/>
  <c r="L877" i="1"/>
  <c r="K877" i="1"/>
  <c r="AC876" i="1"/>
  <c r="AB876" i="1"/>
  <c r="AA876" i="1"/>
  <c r="Z876" i="1"/>
  <c r="Z877" i="1" s="1"/>
  <c r="Y876" i="1"/>
  <c r="W876" i="1"/>
  <c r="W877" i="1" s="1"/>
  <c r="V876" i="1"/>
  <c r="V877" i="1" s="1"/>
  <c r="U876" i="1"/>
  <c r="U877" i="1" s="1"/>
  <c r="T876" i="1"/>
  <c r="T877" i="1" s="1"/>
  <c r="S876" i="1"/>
  <c r="S877" i="1" s="1"/>
  <c r="R876" i="1"/>
  <c r="R877" i="1" s="1"/>
  <c r="Q876" i="1"/>
  <c r="Q877" i="1" s="1"/>
  <c r="P876" i="1"/>
  <c r="P877" i="1" s="1"/>
  <c r="O876" i="1"/>
  <c r="O877" i="1" s="1"/>
  <c r="N874" i="1"/>
  <c r="M874" i="1"/>
  <c r="L874" i="1"/>
  <c r="K874" i="1"/>
  <c r="S873" i="1"/>
  <c r="S874" i="1" s="1"/>
  <c r="R873" i="1"/>
  <c r="R874" i="1" s="1"/>
  <c r="Q873" i="1"/>
  <c r="Q874" i="1" s="1"/>
  <c r="P873" i="1"/>
  <c r="P874" i="1" s="1"/>
  <c r="O873" i="1"/>
  <c r="O874" i="1" s="1"/>
  <c r="N871" i="1"/>
  <c r="M871" i="1"/>
  <c r="L871" i="1"/>
  <c r="K871" i="1"/>
  <c r="S870" i="1"/>
  <c r="S871" i="1" s="1"/>
  <c r="R870" i="1"/>
  <c r="R871" i="1" s="1"/>
  <c r="Q870" i="1"/>
  <c r="Q871" i="1" s="1"/>
  <c r="P870" i="1"/>
  <c r="P871" i="1" s="1"/>
  <c r="O870" i="1"/>
  <c r="O871" i="1" s="1"/>
  <c r="N868" i="1"/>
  <c r="M868" i="1"/>
  <c r="L868" i="1"/>
  <c r="K868" i="1"/>
  <c r="S867" i="1"/>
  <c r="S868" i="1" s="1"/>
  <c r="R867" i="1"/>
  <c r="R868" i="1" s="1"/>
  <c r="Q867" i="1"/>
  <c r="Q868" i="1" s="1"/>
  <c r="P867" i="1"/>
  <c r="P868" i="1" s="1"/>
  <c r="O867" i="1"/>
  <c r="O868" i="1" s="1"/>
  <c r="N865" i="1"/>
  <c r="M865" i="1"/>
  <c r="L865" i="1"/>
  <c r="K865" i="1"/>
  <c r="S864" i="1"/>
  <c r="S865" i="1" s="1"/>
  <c r="R864" i="1"/>
  <c r="R865" i="1" s="1"/>
  <c r="Q864" i="1"/>
  <c r="Q865" i="1" s="1"/>
  <c r="P864" i="1"/>
  <c r="P865" i="1" s="1"/>
  <c r="O864" i="1"/>
  <c r="O865" i="1" s="1"/>
  <c r="N862" i="1"/>
  <c r="M862" i="1"/>
  <c r="L862" i="1"/>
  <c r="K862" i="1"/>
  <c r="W861" i="1"/>
  <c r="W862" i="1" s="1"/>
  <c r="V861" i="1"/>
  <c r="V862" i="1" s="1"/>
  <c r="U861" i="1"/>
  <c r="U862" i="1" s="1"/>
  <c r="T861" i="1"/>
  <c r="T862" i="1" s="1"/>
  <c r="S861" i="1"/>
  <c r="S862" i="1" s="1"/>
  <c r="R861" i="1"/>
  <c r="R862" i="1" s="1"/>
  <c r="Q861" i="1"/>
  <c r="Q862" i="1" s="1"/>
  <c r="P861" i="1"/>
  <c r="P862" i="1" s="1"/>
  <c r="O861" i="1"/>
  <c r="O862" i="1" s="1"/>
  <c r="N859" i="1"/>
  <c r="M859" i="1"/>
  <c r="L859" i="1"/>
  <c r="K859" i="1"/>
  <c r="S858" i="1"/>
  <c r="S859" i="1" s="1"/>
  <c r="R858" i="1"/>
  <c r="R859" i="1" s="1"/>
  <c r="Q858" i="1"/>
  <c r="Q859" i="1" s="1"/>
  <c r="P858" i="1"/>
  <c r="P859" i="1" s="1"/>
  <c r="O858" i="1"/>
  <c r="O859" i="1" s="1"/>
  <c r="N856" i="1"/>
  <c r="M856" i="1"/>
  <c r="L856" i="1"/>
  <c r="K856" i="1"/>
  <c r="S855" i="1"/>
  <c r="S856" i="1" s="1"/>
  <c r="R855" i="1"/>
  <c r="R856" i="1" s="1"/>
  <c r="Q855" i="1"/>
  <c r="Q856" i="1" s="1"/>
  <c r="P855" i="1"/>
  <c r="P856" i="1" s="1"/>
  <c r="O855" i="1"/>
  <c r="O856" i="1" s="1"/>
  <c r="N853" i="1"/>
  <c r="M853" i="1"/>
  <c r="L853" i="1"/>
  <c r="K853" i="1"/>
  <c r="S852" i="1"/>
  <c r="S853" i="1" s="1"/>
  <c r="R852" i="1"/>
  <c r="R853" i="1" s="1"/>
  <c r="Q852" i="1"/>
  <c r="Q853" i="1" s="1"/>
  <c r="P852" i="1"/>
  <c r="P853" i="1" s="1"/>
  <c r="O852" i="1"/>
  <c r="O853" i="1" s="1"/>
  <c r="N850" i="1"/>
  <c r="M850" i="1"/>
  <c r="L850" i="1"/>
  <c r="K850" i="1"/>
  <c r="AH849" i="1"/>
  <c r="AH930" i="1" s="1"/>
  <c r="AG849" i="1"/>
  <c r="AG930" i="1" s="1"/>
  <c r="AF849" i="1"/>
  <c r="AF930" i="1" s="1"/>
  <c r="AE849" i="1"/>
  <c r="AE930" i="1" s="1"/>
  <c r="AD849" i="1"/>
  <c r="AD930" i="1" s="1"/>
  <c r="AC849" i="1"/>
  <c r="AC850" i="1" s="1"/>
  <c r="AB849" i="1"/>
  <c r="AB850" i="1" s="1"/>
  <c r="AA849" i="1"/>
  <c r="AA850" i="1" s="1"/>
  <c r="Z849" i="1"/>
  <c r="Z850" i="1" s="1"/>
  <c r="Y849" i="1"/>
  <c r="Y850" i="1" s="1"/>
  <c r="W849" i="1"/>
  <c r="W850" i="1" s="1"/>
  <c r="V849" i="1"/>
  <c r="V850" i="1" s="1"/>
  <c r="U849" i="1"/>
  <c r="U850" i="1" s="1"/>
  <c r="T849" i="1"/>
  <c r="T850" i="1" s="1"/>
  <c r="S849" i="1"/>
  <c r="S850" i="1" s="1"/>
  <c r="R849" i="1"/>
  <c r="R850" i="1" s="1"/>
  <c r="Q849" i="1"/>
  <c r="Q850" i="1" s="1"/>
  <c r="P849" i="1"/>
  <c r="P850" i="1" s="1"/>
  <c r="O849" i="1"/>
  <c r="O850" i="1" s="1"/>
  <c r="N847" i="1"/>
  <c r="M847" i="1"/>
  <c r="L847" i="1"/>
  <c r="K847" i="1"/>
  <c r="W846" i="1"/>
  <c r="W847" i="1" s="1"/>
  <c r="V846" i="1"/>
  <c r="V847" i="1" s="1"/>
  <c r="U846" i="1"/>
  <c r="U847" i="1" s="1"/>
  <c r="T846" i="1"/>
  <c r="T847" i="1" s="1"/>
  <c r="S846" i="1"/>
  <c r="S847" i="1" s="1"/>
  <c r="R846" i="1"/>
  <c r="R847" i="1" s="1"/>
  <c r="Q846" i="1"/>
  <c r="Q847" i="1" s="1"/>
  <c r="P846" i="1"/>
  <c r="P847" i="1" s="1"/>
  <c r="O846" i="1"/>
  <c r="O847" i="1" s="1"/>
  <c r="N844" i="1"/>
  <c r="M844" i="1"/>
  <c r="L844" i="1"/>
  <c r="K844" i="1"/>
  <c r="R843" i="1"/>
  <c r="R844" i="1" s="1"/>
  <c r="Q843" i="1"/>
  <c r="Q844" i="1" s="1"/>
  <c r="P843" i="1"/>
  <c r="P844" i="1" s="1"/>
  <c r="O843" i="1"/>
  <c r="O844" i="1" s="1"/>
  <c r="N841" i="1"/>
  <c r="M841" i="1"/>
  <c r="L841" i="1"/>
  <c r="K841" i="1"/>
  <c r="V840" i="1"/>
  <c r="V841" i="1" s="1"/>
  <c r="U840" i="1"/>
  <c r="U841" i="1" s="1"/>
  <c r="T840" i="1"/>
  <c r="T841" i="1" s="1"/>
  <c r="S840" i="1"/>
  <c r="S841" i="1" s="1"/>
  <c r="R840" i="1"/>
  <c r="R841" i="1" s="1"/>
  <c r="Q840" i="1"/>
  <c r="Q841" i="1" s="1"/>
  <c r="P840" i="1"/>
  <c r="P841" i="1" s="1"/>
  <c r="O840" i="1"/>
  <c r="O841" i="1" s="1"/>
  <c r="P1587" i="1"/>
  <c r="P1625" i="1"/>
  <c r="O1695" i="1"/>
  <c r="O1694" i="1"/>
  <c r="O1645" i="1"/>
  <c r="T1609" i="1"/>
  <c r="S1609" i="1"/>
  <c r="R1609" i="1"/>
  <c r="Q1609" i="1"/>
  <c r="P1609" i="1"/>
  <c r="O1609" i="1"/>
  <c r="N1609" i="1"/>
  <c r="M1609" i="1"/>
  <c r="L1609" i="1"/>
  <c r="K1609" i="1"/>
  <c r="AM1628" i="1"/>
  <c r="AN1626" i="1"/>
  <c r="AN1627" i="1" s="1"/>
  <c r="AO1628" i="1"/>
  <c r="AP1626" i="1"/>
  <c r="AP1627" i="1" s="1"/>
  <c r="AQ1626" i="1"/>
  <c r="AQ1628" i="1" s="1"/>
  <c r="AR1626" i="1"/>
  <c r="AR1627" i="1" s="1"/>
  <c r="AS1628" i="1"/>
  <c r="Q1017" i="1"/>
  <c r="R1017" i="1"/>
  <c r="S1017" i="1"/>
  <c r="T1017" i="1"/>
  <c r="U1017" i="1"/>
  <c r="V1017" i="1"/>
  <c r="W1017" i="1"/>
  <c r="L956" i="1"/>
  <c r="AD1686" i="1" l="1"/>
  <c r="T1032" i="1"/>
  <c r="Y1009" i="1"/>
  <c r="Y1010" i="1" s="1"/>
  <c r="AC1009" i="1"/>
  <c r="AC1033" i="1" s="1"/>
  <c r="V1032" i="1"/>
  <c r="R1032" i="1"/>
  <c r="W1009" i="1"/>
  <c r="AA1009" i="1"/>
  <c r="AA1010" i="1" s="1"/>
  <c r="Q1032" i="1"/>
  <c r="S980" i="1"/>
  <c r="W1032" i="1"/>
  <c r="U1032" i="1"/>
  <c r="V1009" i="1"/>
  <c r="Y998" i="1"/>
  <c r="AC998" i="1"/>
  <c r="Z1009" i="1"/>
  <c r="Z1010" i="1" s="1"/>
  <c r="AB1009" i="1"/>
  <c r="AB1010" i="1" s="1"/>
  <c r="AD1009" i="1"/>
  <c r="AS1627" i="1"/>
  <c r="Z998" i="1"/>
  <c r="AE931" i="1"/>
  <c r="AG931" i="1"/>
  <c r="AD942" i="1"/>
  <c r="AP1628" i="1"/>
  <c r="W998" i="1"/>
  <c r="AJ1628" i="1"/>
  <c r="AL1626" i="1"/>
  <c r="AL1628" i="1" s="1"/>
  <c r="AD931" i="1"/>
  <c r="AF931" i="1"/>
  <c r="AH931" i="1"/>
  <c r="AD941" i="1"/>
  <c r="AO1627" i="1"/>
  <c r="AE942" i="1"/>
  <c r="AG942" i="1"/>
  <c r="P941" i="1"/>
  <c r="R941" i="1"/>
  <c r="T941" i="1"/>
  <c r="V941" i="1"/>
  <c r="Z941" i="1"/>
  <c r="AB941" i="1"/>
  <c r="AF941" i="1"/>
  <c r="AH941" i="1"/>
  <c r="AF942" i="1"/>
  <c r="AH942" i="1"/>
  <c r="Q941" i="1"/>
  <c r="S941" i="1"/>
  <c r="U941" i="1"/>
  <c r="W941" i="1"/>
  <c r="Y941" i="1"/>
  <c r="AA941" i="1"/>
  <c r="AC941" i="1"/>
  <c r="AE941" i="1"/>
  <c r="AG941" i="1"/>
  <c r="N1031" i="1"/>
  <c r="AQ1627" i="1"/>
  <c r="AM1627" i="1"/>
  <c r="Q1009" i="1"/>
  <c r="Q1010" i="1" s="1"/>
  <c r="S1009" i="1"/>
  <c r="S1010" i="1" s="1"/>
  <c r="U1009" i="1"/>
  <c r="P1009" i="1"/>
  <c r="P1033" i="1" s="1"/>
  <c r="R1009" i="1"/>
  <c r="R1010" i="1" s="1"/>
  <c r="T1009" i="1"/>
  <c r="T1010" i="1" s="1"/>
  <c r="K1033" i="1"/>
  <c r="S1032" i="1"/>
  <c r="K1031" i="1"/>
  <c r="N1028" i="1"/>
  <c r="AR1628" i="1"/>
  <c r="AN1628" i="1"/>
  <c r="R992" i="1"/>
  <c r="AJ1627" i="1"/>
  <c r="Q1018" i="1"/>
  <c r="S1018" i="1"/>
  <c r="U1018" i="1"/>
  <c r="U1019" i="1" s="1"/>
  <c r="W1018" i="1"/>
  <c r="Y930" i="1"/>
  <c r="AA930" i="1"/>
  <c r="AC930" i="1"/>
  <c r="P930" i="1"/>
  <c r="P931" i="1" s="1"/>
  <c r="R930" i="1"/>
  <c r="R931" i="1" s="1"/>
  <c r="T930" i="1"/>
  <c r="V930" i="1"/>
  <c r="N931" i="1"/>
  <c r="P939" i="1"/>
  <c r="P940" i="1" s="1"/>
  <c r="R939" i="1"/>
  <c r="R940" i="1" s="1"/>
  <c r="T939" i="1"/>
  <c r="T940" i="1" s="1"/>
  <c r="V939" i="1"/>
  <c r="V940" i="1" s="1"/>
  <c r="N941" i="1"/>
  <c r="N942" i="1"/>
  <c r="R1018" i="1"/>
  <c r="R1019" i="1" s="1"/>
  <c r="T1018" i="1"/>
  <c r="V1018" i="1"/>
  <c r="Z930" i="1"/>
  <c r="AB930" i="1"/>
  <c r="AB877" i="1"/>
  <c r="O930" i="1"/>
  <c r="O931" i="1" s="1"/>
  <c r="Q930" i="1"/>
  <c r="Q931" i="1" s="1"/>
  <c r="S930" i="1"/>
  <c r="S931" i="1" s="1"/>
  <c r="U930" i="1"/>
  <c r="W930" i="1"/>
  <c r="K931" i="1"/>
  <c r="O939" i="1"/>
  <c r="Q939" i="1"/>
  <c r="Q940" i="1" s="1"/>
  <c r="S939" i="1"/>
  <c r="U939" i="1"/>
  <c r="W939" i="1"/>
  <c r="K941" i="1"/>
  <c r="O941" i="1"/>
  <c r="K942" i="1"/>
  <c r="Z940" i="1"/>
  <c r="AB940" i="1"/>
  <c r="AD940" i="1"/>
  <c r="AF940" i="1"/>
  <c r="AH940" i="1"/>
  <c r="Y940" i="1"/>
  <c r="AA940" i="1"/>
  <c r="AC940" i="1"/>
  <c r="AE940" i="1"/>
  <c r="AG940" i="1"/>
  <c r="AD850" i="1"/>
  <c r="AF850" i="1"/>
  <c r="AH850" i="1"/>
  <c r="Y877" i="1"/>
  <c r="AA877" i="1"/>
  <c r="AC877" i="1"/>
  <c r="P928" i="1"/>
  <c r="R928" i="1"/>
  <c r="T928" i="1"/>
  <c r="V928" i="1"/>
  <c r="P937" i="1"/>
  <c r="R937" i="1"/>
  <c r="T937" i="1"/>
  <c r="V937" i="1"/>
  <c r="Z937" i="1"/>
  <c r="AB937" i="1"/>
  <c r="AD937" i="1"/>
  <c r="AF937" i="1"/>
  <c r="AH937" i="1"/>
  <c r="N940" i="1"/>
  <c r="AE850" i="1"/>
  <c r="AG850" i="1"/>
  <c r="O928" i="1"/>
  <c r="Q928" i="1"/>
  <c r="S928" i="1"/>
  <c r="U928" i="1"/>
  <c r="W928" i="1"/>
  <c r="O937" i="1"/>
  <c r="Q937" i="1"/>
  <c r="S937" i="1"/>
  <c r="U937" i="1"/>
  <c r="W937" i="1"/>
  <c r="Y937" i="1"/>
  <c r="AA937" i="1"/>
  <c r="AC937" i="1"/>
  <c r="AE937" i="1"/>
  <c r="AG937" i="1"/>
  <c r="K940" i="1"/>
  <c r="P1019" i="1"/>
  <c r="AI1627" i="1"/>
  <c r="AI1628" i="1"/>
  <c r="AA1019" i="1"/>
  <c r="AD1019" i="1"/>
  <c r="AB1019" i="1"/>
  <c r="Z1019" i="1"/>
  <c r="Y1019" i="1"/>
  <c r="K1017" i="1"/>
  <c r="AG1687" i="1" l="1"/>
  <c r="AF1687" i="1"/>
  <c r="AD1653" i="1"/>
  <c r="AC1693" i="1"/>
  <c r="AD1661" i="1"/>
  <c r="AE1653" i="1"/>
  <c r="AH1654" i="1"/>
  <c r="AF1654" i="1"/>
  <c r="AH1653" i="1"/>
  <c r="AG1654" i="1"/>
  <c r="AF1653" i="1"/>
  <c r="AE1654" i="1"/>
  <c r="AE1686" i="1"/>
  <c r="AF1686" i="1"/>
  <c r="AH1687" i="1"/>
  <c r="AH1686" i="1"/>
  <c r="AE1687" i="1"/>
  <c r="AG1661" i="1"/>
  <c r="AE1661" i="1"/>
  <c r="AF1661" i="1"/>
  <c r="AH1661" i="1"/>
  <c r="AD1693" i="1"/>
  <c r="AC1010" i="1"/>
  <c r="AB931" i="1"/>
  <c r="Z931" i="1"/>
  <c r="Y931" i="1"/>
  <c r="T931" i="1"/>
  <c r="W931" i="1"/>
  <c r="AA931" i="1"/>
  <c r="U931" i="1"/>
  <c r="V931" i="1"/>
  <c r="T1033" i="1"/>
  <c r="S1033" i="1"/>
  <c r="Y1033" i="1"/>
  <c r="AL1627" i="1"/>
  <c r="AD1010" i="1"/>
  <c r="S942" i="1"/>
  <c r="S943" i="1" s="1"/>
  <c r="T942" i="1"/>
  <c r="AD1033" i="1"/>
  <c r="K943" i="1"/>
  <c r="U942" i="1"/>
  <c r="V942" i="1"/>
  <c r="W1033" i="1"/>
  <c r="AD1715" i="1"/>
  <c r="AA1033" i="1"/>
  <c r="Z1033" i="1"/>
  <c r="W1019" i="1"/>
  <c r="W942" i="1"/>
  <c r="O942" i="1"/>
  <c r="O943" i="1" s="1"/>
  <c r="N943" i="1"/>
  <c r="R942" i="1"/>
  <c r="R943" i="1" s="1"/>
  <c r="S1019" i="1"/>
  <c r="T1019" i="1"/>
  <c r="R1033" i="1"/>
  <c r="AB1033" i="1"/>
  <c r="U940" i="1"/>
  <c r="U1033" i="1"/>
  <c r="Q1033" i="1"/>
  <c r="AG1715" i="1"/>
  <c r="AE1715" i="1"/>
  <c r="AG1693" i="1"/>
  <c r="P1010" i="1"/>
  <c r="AH943" i="1"/>
  <c r="AQ1648" i="1"/>
  <c r="AH1693" i="1"/>
  <c r="AH1715" i="1"/>
  <c r="AC931" i="1"/>
  <c r="AF943" i="1"/>
  <c r="AQ1676" i="1"/>
  <c r="W940" i="1"/>
  <c r="S940" i="1"/>
  <c r="O940" i="1"/>
  <c r="AF1693" i="1"/>
  <c r="AF1715" i="1"/>
  <c r="AD943" i="1"/>
  <c r="AE1693" i="1"/>
  <c r="AC1034" i="1"/>
  <c r="K1032" i="1"/>
  <c r="AB942" i="1"/>
  <c r="AE943" i="1"/>
  <c r="AA942" i="1"/>
  <c r="Q942" i="1"/>
  <c r="Q943" i="1" s="1"/>
  <c r="P942" i="1"/>
  <c r="P943" i="1" s="1"/>
  <c r="Z942" i="1"/>
  <c r="AG943" i="1"/>
  <c r="AC942" i="1"/>
  <c r="Y942" i="1"/>
  <c r="V1019" i="1"/>
  <c r="V1033" i="1"/>
  <c r="AC1019" i="1"/>
  <c r="AK1627" i="1"/>
  <c r="AK1628" i="1"/>
  <c r="Q1019" i="1"/>
  <c r="W1010" i="1"/>
  <c r="V1010" i="1"/>
  <c r="U1010" i="1"/>
  <c r="K1019" i="1"/>
  <c r="AG1643" i="1" l="1"/>
  <c r="AG1734" i="1"/>
  <c r="AF1734" i="1"/>
  <c r="AE1734" i="1"/>
  <c r="AH1734" i="1"/>
  <c r="AD1734" i="1"/>
  <c r="AC1661" i="1"/>
  <c r="AA943" i="1"/>
  <c r="W943" i="1"/>
  <c r="Z943" i="1"/>
  <c r="Y943" i="1"/>
  <c r="AB943" i="1"/>
  <c r="V943" i="1"/>
  <c r="AC943" i="1"/>
  <c r="U943" i="1"/>
  <c r="T943" i="1"/>
  <c r="AD1643" i="1"/>
  <c r="AE1643" i="1"/>
  <c r="AD1034" i="1"/>
  <c r="AF1643" i="1"/>
  <c r="AH1643" i="1"/>
  <c r="P1031" i="1"/>
  <c r="N1016" i="1"/>
  <c r="M1016" i="1"/>
  <c r="L1016" i="1"/>
  <c r="M1034" i="1" l="1"/>
  <c r="L1034" i="1"/>
  <c r="M1019" i="1"/>
  <c r="L1019" i="1"/>
  <c r="N1017" i="1"/>
  <c r="M1013" i="1"/>
  <c r="L1013" i="1"/>
  <c r="N1018" i="1"/>
  <c r="L1010" i="1"/>
  <c r="M1001" i="1"/>
  <c r="L1001" i="1"/>
  <c r="N1001" i="1"/>
  <c r="M998" i="1"/>
  <c r="L998" i="1"/>
  <c r="N998" i="1"/>
  <c r="M995" i="1"/>
  <c r="L995" i="1"/>
  <c r="P995" i="1"/>
  <c r="N995" i="1"/>
  <c r="M992" i="1"/>
  <c r="L992" i="1"/>
  <c r="N992" i="1"/>
  <c r="M989" i="1"/>
  <c r="L989" i="1"/>
  <c r="N989" i="1"/>
  <c r="M986" i="1"/>
  <c r="L986" i="1"/>
  <c r="N986" i="1"/>
  <c r="M983" i="1"/>
  <c r="L983" i="1"/>
  <c r="R983" i="1"/>
  <c r="Q983" i="1"/>
  <c r="N983" i="1"/>
  <c r="M980" i="1"/>
  <c r="L980" i="1"/>
  <c r="N980" i="1"/>
  <c r="M977" i="1"/>
  <c r="L977" i="1"/>
  <c r="N977" i="1"/>
  <c r="M974" i="1"/>
  <c r="L974" i="1"/>
  <c r="N974" i="1"/>
  <c r="M971" i="1"/>
  <c r="L971" i="1"/>
  <c r="N971" i="1"/>
  <c r="M968" i="1"/>
  <c r="L968" i="1"/>
  <c r="R968" i="1"/>
  <c r="Q968" i="1"/>
  <c r="N968" i="1"/>
  <c r="M965" i="1"/>
  <c r="L965" i="1"/>
  <c r="R965" i="1"/>
  <c r="Q965" i="1"/>
  <c r="P965" i="1"/>
  <c r="N965" i="1"/>
  <c r="M962" i="1"/>
  <c r="L962" i="1"/>
  <c r="R962" i="1"/>
  <c r="Q962" i="1"/>
  <c r="P962" i="1"/>
  <c r="N962" i="1"/>
  <c r="M959" i="1"/>
  <c r="L959" i="1"/>
  <c r="S959" i="1"/>
  <c r="R959" i="1"/>
  <c r="Q959" i="1"/>
  <c r="P959" i="1"/>
  <c r="N959" i="1"/>
  <c r="M956" i="1"/>
  <c r="R956" i="1"/>
  <c r="P956" i="1"/>
  <c r="N956" i="1"/>
  <c r="M953" i="1"/>
  <c r="L953" i="1"/>
  <c r="R953" i="1"/>
  <c r="Q953" i="1"/>
  <c r="P953" i="1"/>
  <c r="N953" i="1"/>
  <c r="M950" i="1"/>
  <c r="L950" i="1"/>
  <c r="R950" i="1"/>
  <c r="Q950" i="1"/>
  <c r="P950" i="1"/>
  <c r="N950" i="1"/>
  <c r="M947" i="1"/>
  <c r="L947" i="1"/>
  <c r="R947" i="1"/>
  <c r="Q947" i="1"/>
  <c r="P947" i="1"/>
  <c r="N947" i="1"/>
  <c r="O1716" i="1"/>
  <c r="AJ1617" i="1"/>
  <c r="AJ1646" i="1" s="1"/>
  <c r="AG1616" i="1"/>
  <c r="AG1645" i="1" s="1"/>
  <c r="AG1653" i="1" l="1"/>
  <c r="AG1716" i="1"/>
  <c r="AG1686" i="1"/>
  <c r="AJ1654" i="1"/>
  <c r="AJ1717" i="1"/>
  <c r="AJ1687" i="1"/>
  <c r="N1032" i="1"/>
  <c r="K1010" i="1"/>
  <c r="K1034" i="1"/>
  <c r="N1019" i="1"/>
  <c r="AB1034" i="1"/>
  <c r="N1013" i="1"/>
  <c r="P1013" i="1"/>
  <c r="N1728" i="1"/>
  <c r="N1729" i="1"/>
  <c r="N1716" i="1"/>
  <c r="N1707" i="1"/>
  <c r="N1708" i="1"/>
  <c r="Z1034" i="1" l="1"/>
  <c r="U1034" i="1"/>
  <c r="W1034" i="1"/>
  <c r="S1034" i="1"/>
  <c r="V1034" i="1"/>
  <c r="T1034" i="1"/>
  <c r="Q1034" i="1"/>
  <c r="R1034" i="1"/>
  <c r="P1034" i="1"/>
  <c r="N1033" i="1"/>
  <c r="N1034" i="1" s="1"/>
  <c r="AA1034" i="1"/>
  <c r="Y1034" i="1"/>
  <c r="AB1626" i="1"/>
  <c r="AH1626" i="1"/>
  <c r="AH1627" i="1" s="1"/>
  <c r="M837" i="1"/>
  <c r="AB830" i="1"/>
  <c r="AA830" i="1"/>
  <c r="Z830" i="1"/>
  <c r="Y830" i="1"/>
  <c r="W830" i="1"/>
  <c r="V830" i="1"/>
  <c r="U830" i="1"/>
  <c r="T830" i="1"/>
  <c r="S830" i="1"/>
  <c r="R830" i="1"/>
  <c r="Q830" i="1"/>
  <c r="P830" i="1"/>
  <c r="O830" i="1"/>
  <c r="N830" i="1"/>
  <c r="R824" i="1"/>
  <c r="Q824" i="1"/>
  <c r="P824" i="1"/>
  <c r="O824" i="1"/>
  <c r="O825" i="1" s="1"/>
  <c r="N824" i="1"/>
  <c r="W821" i="1"/>
  <c r="V821" i="1"/>
  <c r="U821" i="1"/>
  <c r="T821" i="1"/>
  <c r="S821" i="1"/>
  <c r="R821" i="1"/>
  <c r="Q821" i="1"/>
  <c r="P821" i="1"/>
  <c r="O821" i="1"/>
  <c r="N821" i="1"/>
  <c r="R818" i="1"/>
  <c r="Q818" i="1"/>
  <c r="P818" i="1"/>
  <c r="O818" i="1"/>
  <c r="N818" i="1"/>
  <c r="P815" i="1"/>
  <c r="O815" i="1"/>
  <c r="N815" i="1"/>
  <c r="R812" i="1"/>
  <c r="Q812" i="1"/>
  <c r="P812" i="1"/>
  <c r="O812" i="1"/>
  <c r="N812" i="1"/>
  <c r="O809" i="1"/>
  <c r="N809" i="1"/>
  <c r="R806" i="1"/>
  <c r="Q806" i="1"/>
  <c r="P806" i="1"/>
  <c r="O806" i="1"/>
  <c r="N806" i="1"/>
  <c r="W803" i="1"/>
  <c r="V803" i="1"/>
  <c r="U803" i="1"/>
  <c r="T803" i="1"/>
  <c r="S803" i="1"/>
  <c r="R803" i="1"/>
  <c r="Q803" i="1"/>
  <c r="P803" i="1"/>
  <c r="O803" i="1"/>
  <c r="N803" i="1"/>
  <c r="U800" i="1"/>
  <c r="T800" i="1"/>
  <c r="S800" i="1"/>
  <c r="R800" i="1"/>
  <c r="Q800" i="1"/>
  <c r="P800" i="1"/>
  <c r="O800" i="1"/>
  <c r="N800" i="1"/>
  <c r="AB797" i="1"/>
  <c r="AA797" i="1"/>
  <c r="Z797" i="1"/>
  <c r="Y797" i="1"/>
  <c r="W797" i="1"/>
  <c r="V797" i="1"/>
  <c r="U797" i="1"/>
  <c r="T797" i="1"/>
  <c r="S797" i="1"/>
  <c r="R797" i="1"/>
  <c r="Q797" i="1"/>
  <c r="P797" i="1"/>
  <c r="O797" i="1"/>
  <c r="N797" i="1"/>
  <c r="W794" i="1"/>
  <c r="V794" i="1"/>
  <c r="U794" i="1"/>
  <c r="T794" i="1"/>
  <c r="S794" i="1"/>
  <c r="R794" i="1"/>
  <c r="Q794" i="1"/>
  <c r="P794" i="1"/>
  <c r="O794" i="1"/>
  <c r="N794" i="1"/>
  <c r="O791" i="1"/>
  <c r="N791" i="1"/>
  <c r="T788" i="1"/>
  <c r="S788" i="1"/>
  <c r="R788" i="1"/>
  <c r="Q788" i="1"/>
  <c r="P788" i="1"/>
  <c r="O788" i="1"/>
  <c r="N788" i="1"/>
  <c r="P785" i="1"/>
  <c r="O785" i="1"/>
  <c r="N785" i="1"/>
  <c r="R782" i="1"/>
  <c r="Q782" i="1"/>
  <c r="P782" i="1"/>
  <c r="O782" i="1"/>
  <c r="N782" i="1"/>
  <c r="R779" i="1"/>
  <c r="Q779" i="1"/>
  <c r="P779" i="1"/>
  <c r="O779" i="1"/>
  <c r="N779" i="1"/>
  <c r="Q776" i="1"/>
  <c r="P776" i="1"/>
  <c r="O776" i="1"/>
  <c r="N776" i="1"/>
  <c r="R773" i="1"/>
  <c r="Q773" i="1"/>
  <c r="P773" i="1"/>
  <c r="O773" i="1"/>
  <c r="N773" i="1"/>
  <c r="R770" i="1"/>
  <c r="Q770" i="1"/>
  <c r="P770" i="1"/>
  <c r="O770" i="1"/>
  <c r="N770" i="1"/>
  <c r="AB767" i="1"/>
  <c r="AA767" i="1"/>
  <c r="Z767" i="1"/>
  <c r="Y767" i="1"/>
  <c r="W767" i="1"/>
  <c r="V767" i="1"/>
  <c r="U767" i="1"/>
  <c r="T767" i="1"/>
  <c r="S767" i="1"/>
  <c r="R767" i="1"/>
  <c r="Q767" i="1"/>
  <c r="P767" i="1"/>
  <c r="O767" i="1"/>
  <c r="N767" i="1"/>
  <c r="R764" i="1"/>
  <c r="Q764" i="1"/>
  <c r="P764" i="1"/>
  <c r="O764" i="1"/>
  <c r="N764" i="1"/>
  <c r="R761" i="1"/>
  <c r="Q761" i="1"/>
  <c r="P761" i="1"/>
  <c r="O761" i="1"/>
  <c r="N761" i="1"/>
  <c r="R758" i="1"/>
  <c r="Q758" i="1"/>
  <c r="P758" i="1"/>
  <c r="O758" i="1"/>
  <c r="N758" i="1"/>
  <c r="W755" i="1"/>
  <c r="V755" i="1"/>
  <c r="U755" i="1"/>
  <c r="T755" i="1"/>
  <c r="S755" i="1"/>
  <c r="R755" i="1"/>
  <c r="Q755" i="1"/>
  <c r="P755" i="1"/>
  <c r="O755" i="1"/>
  <c r="N755" i="1"/>
  <c r="R752" i="1"/>
  <c r="Q752" i="1"/>
  <c r="P752" i="1"/>
  <c r="O752" i="1"/>
  <c r="N752" i="1"/>
  <c r="R749" i="1"/>
  <c r="Q749" i="1"/>
  <c r="P749" i="1"/>
  <c r="O749" i="1"/>
  <c r="N749" i="1"/>
  <c r="U746" i="1"/>
  <c r="T746" i="1"/>
  <c r="S746" i="1"/>
  <c r="R746" i="1"/>
  <c r="Q746" i="1"/>
  <c r="P746" i="1"/>
  <c r="O746" i="1"/>
  <c r="N746" i="1"/>
  <c r="R743" i="1"/>
  <c r="Q743" i="1"/>
  <c r="P743" i="1"/>
  <c r="O743" i="1"/>
  <c r="N743" i="1"/>
  <c r="R740" i="1"/>
  <c r="Q740" i="1"/>
  <c r="P740" i="1"/>
  <c r="O740" i="1"/>
  <c r="N740" i="1"/>
  <c r="R737" i="1"/>
  <c r="Q737" i="1"/>
  <c r="P737" i="1"/>
  <c r="O737" i="1"/>
  <c r="N737" i="1"/>
  <c r="R734" i="1"/>
  <c r="Q734" i="1"/>
  <c r="P734" i="1"/>
  <c r="O734" i="1"/>
  <c r="N734" i="1"/>
  <c r="R731" i="1"/>
  <c r="Q731" i="1"/>
  <c r="P731" i="1"/>
  <c r="O731" i="1"/>
  <c r="N731" i="1"/>
  <c r="R728" i="1"/>
  <c r="Q728" i="1"/>
  <c r="P728" i="1"/>
  <c r="O728" i="1"/>
  <c r="N728" i="1"/>
  <c r="AB725" i="1"/>
  <c r="AA725" i="1"/>
  <c r="Z725" i="1"/>
  <c r="Y725" i="1"/>
  <c r="W725" i="1"/>
  <c r="V725" i="1"/>
  <c r="U725" i="1"/>
  <c r="T725" i="1"/>
  <c r="S725" i="1"/>
  <c r="R725" i="1"/>
  <c r="Q725" i="1"/>
  <c r="P725" i="1"/>
  <c r="O725" i="1"/>
  <c r="N725" i="1"/>
  <c r="R722" i="1"/>
  <c r="Q722" i="1"/>
  <c r="P722" i="1"/>
  <c r="O722" i="1"/>
  <c r="N722" i="1"/>
  <c r="R719" i="1"/>
  <c r="Q719" i="1"/>
  <c r="P719" i="1"/>
  <c r="O719" i="1"/>
  <c r="N719" i="1"/>
  <c r="R716" i="1"/>
  <c r="Q716" i="1"/>
  <c r="P716" i="1"/>
  <c r="O716" i="1"/>
  <c r="N716" i="1"/>
  <c r="R713" i="1"/>
  <c r="Q713" i="1"/>
  <c r="P713" i="1"/>
  <c r="O713" i="1"/>
  <c r="N713" i="1"/>
  <c r="U703" i="1"/>
  <c r="T703" i="1"/>
  <c r="S703" i="1"/>
  <c r="R703" i="1"/>
  <c r="Q703" i="1"/>
  <c r="P703" i="1"/>
  <c r="O703" i="1"/>
  <c r="N703" i="1"/>
  <c r="U700" i="1"/>
  <c r="T700" i="1"/>
  <c r="S700" i="1"/>
  <c r="R700" i="1"/>
  <c r="Q700" i="1"/>
  <c r="P700" i="1"/>
  <c r="O700" i="1"/>
  <c r="N700" i="1"/>
  <c r="U697" i="1"/>
  <c r="T697" i="1"/>
  <c r="S697" i="1"/>
  <c r="R697" i="1"/>
  <c r="Q697" i="1"/>
  <c r="P697" i="1"/>
  <c r="O697" i="1"/>
  <c r="N697" i="1"/>
  <c r="P694" i="1"/>
  <c r="O694" i="1"/>
  <c r="N694" i="1"/>
  <c r="P691" i="1"/>
  <c r="O691" i="1"/>
  <c r="N691" i="1"/>
  <c r="P688" i="1"/>
  <c r="O688" i="1"/>
  <c r="N688" i="1"/>
  <c r="N685" i="1"/>
  <c r="P682" i="1"/>
  <c r="O682" i="1"/>
  <c r="N682" i="1"/>
  <c r="Q679" i="1"/>
  <c r="P679" i="1"/>
  <c r="O679" i="1"/>
  <c r="N679" i="1"/>
  <c r="U676" i="1"/>
  <c r="T676" i="1"/>
  <c r="S676" i="1"/>
  <c r="R676" i="1"/>
  <c r="Q676" i="1"/>
  <c r="P676" i="1"/>
  <c r="O676" i="1"/>
  <c r="O677" i="1" s="1"/>
  <c r="N676" i="1"/>
  <c r="T666" i="1"/>
  <c r="S666" i="1"/>
  <c r="R666" i="1"/>
  <c r="Q666" i="1"/>
  <c r="P666" i="1"/>
  <c r="O666" i="1"/>
  <c r="N666" i="1"/>
  <c r="S663" i="1"/>
  <c r="R663" i="1"/>
  <c r="Q663" i="1"/>
  <c r="P663" i="1"/>
  <c r="O663" i="1"/>
  <c r="N663" i="1"/>
  <c r="R660" i="1"/>
  <c r="Q660" i="1"/>
  <c r="P660" i="1"/>
  <c r="O660" i="1"/>
  <c r="N660" i="1"/>
  <c r="Y657" i="1"/>
  <c r="W657" i="1"/>
  <c r="V657" i="1"/>
  <c r="U657" i="1"/>
  <c r="T657" i="1"/>
  <c r="S657" i="1"/>
  <c r="R657" i="1"/>
  <c r="Q657" i="1"/>
  <c r="P657" i="1"/>
  <c r="O657" i="1"/>
  <c r="N657" i="1"/>
  <c r="Y654" i="1"/>
  <c r="W654" i="1"/>
  <c r="V654" i="1"/>
  <c r="U654" i="1"/>
  <c r="T654" i="1"/>
  <c r="S654" i="1"/>
  <c r="R654" i="1"/>
  <c r="Q654" i="1"/>
  <c r="P654" i="1"/>
  <c r="O654" i="1"/>
  <c r="N654" i="1"/>
  <c r="Y648" i="1"/>
  <c r="W648" i="1"/>
  <c r="V648" i="1"/>
  <c r="V649" i="1" s="1"/>
  <c r="U648" i="1"/>
  <c r="T648" i="1"/>
  <c r="S648" i="1"/>
  <c r="R648" i="1"/>
  <c r="Q648" i="1"/>
  <c r="P648" i="1"/>
  <c r="O648" i="1"/>
  <c r="N648" i="1"/>
  <c r="Y645" i="1"/>
  <c r="W645" i="1"/>
  <c r="V645" i="1"/>
  <c r="U645" i="1"/>
  <c r="T645" i="1"/>
  <c r="S645" i="1"/>
  <c r="R645" i="1"/>
  <c r="Q645" i="1"/>
  <c r="P645" i="1"/>
  <c r="O645" i="1"/>
  <c r="N645" i="1"/>
  <c r="Y642" i="1"/>
  <c r="W642" i="1"/>
  <c r="V642" i="1"/>
  <c r="AH1628" i="1" l="1"/>
  <c r="U642" i="1"/>
  <c r="T642" i="1"/>
  <c r="S642" i="1"/>
  <c r="R642" i="1"/>
  <c r="Q642" i="1"/>
  <c r="P642" i="1"/>
  <c r="O642" i="1"/>
  <c r="N642" i="1"/>
  <c r="Y639" i="1"/>
  <c r="W639" i="1"/>
  <c r="V639" i="1"/>
  <c r="U639" i="1"/>
  <c r="T639" i="1"/>
  <c r="S639" i="1"/>
  <c r="R639" i="1"/>
  <c r="Q639" i="1"/>
  <c r="P639" i="1"/>
  <c r="O639" i="1"/>
  <c r="N639" i="1"/>
  <c r="Y636" i="1"/>
  <c r="W636" i="1"/>
  <c r="V636" i="1"/>
  <c r="U636" i="1"/>
  <c r="T636" i="1"/>
  <c r="S636" i="1"/>
  <c r="R636" i="1"/>
  <c r="Q636" i="1"/>
  <c r="P636" i="1"/>
  <c r="O636" i="1"/>
  <c r="N636" i="1"/>
  <c r="O630" i="1"/>
  <c r="N630" i="1"/>
  <c r="O627" i="1"/>
  <c r="N627" i="1"/>
  <c r="O624" i="1"/>
  <c r="N624" i="1"/>
  <c r="O621" i="1"/>
  <c r="N621" i="1"/>
  <c r="N618" i="1"/>
  <c r="N615" i="1"/>
  <c r="O612" i="1"/>
  <c r="N612" i="1"/>
  <c r="N609" i="1"/>
  <c r="N606" i="1"/>
  <c r="O603" i="1"/>
  <c r="N603" i="1"/>
  <c r="O600" i="1"/>
  <c r="N600" i="1"/>
  <c r="O597" i="1"/>
  <c r="N597" i="1"/>
  <c r="S594" i="1"/>
  <c r="R594" i="1"/>
  <c r="Q594" i="1"/>
  <c r="P594" i="1"/>
  <c r="O594" i="1"/>
  <c r="N594" i="1"/>
  <c r="N591" i="1"/>
  <c r="Y588" i="1"/>
  <c r="W588" i="1"/>
  <c r="V588" i="1"/>
  <c r="V589" i="1" s="1"/>
  <c r="U588" i="1"/>
  <c r="T588" i="1"/>
  <c r="S588" i="1"/>
  <c r="R588" i="1"/>
  <c r="Q588" i="1"/>
  <c r="P588" i="1"/>
  <c r="O588" i="1"/>
  <c r="N588" i="1"/>
  <c r="O585" i="1"/>
  <c r="N585" i="1"/>
  <c r="O582" i="1"/>
  <c r="N582" i="1"/>
  <c r="O579" i="1"/>
  <c r="N579" i="1"/>
  <c r="N576" i="1"/>
  <c r="N573" i="1"/>
  <c r="N570" i="1"/>
  <c r="AC560" i="1"/>
  <c r="AB560" i="1"/>
  <c r="AA560" i="1"/>
  <c r="Z560" i="1"/>
  <c r="Y560" i="1"/>
  <c r="W560" i="1"/>
  <c r="V560" i="1"/>
  <c r="U560" i="1"/>
  <c r="T560" i="1"/>
  <c r="S560" i="1"/>
  <c r="R560" i="1"/>
  <c r="Q560" i="1"/>
  <c r="P560" i="1"/>
  <c r="O560" i="1"/>
  <c r="N560" i="1"/>
  <c r="AC557" i="1"/>
  <c r="AB557" i="1"/>
  <c r="AA557" i="1"/>
  <c r="Z557" i="1"/>
  <c r="Y557" i="1"/>
  <c r="W557" i="1"/>
  <c r="V557" i="1"/>
  <c r="U557" i="1"/>
  <c r="T557" i="1"/>
  <c r="S557" i="1"/>
  <c r="R557" i="1"/>
  <c r="Q557" i="1"/>
  <c r="P557" i="1"/>
  <c r="O557" i="1"/>
  <c r="N557" i="1"/>
  <c r="W554" i="1"/>
  <c r="V554" i="1"/>
  <c r="U554" i="1"/>
  <c r="T554" i="1"/>
  <c r="S554" i="1"/>
  <c r="R554" i="1"/>
  <c r="Q554" i="1"/>
  <c r="P554" i="1"/>
  <c r="O554" i="1"/>
  <c r="N554" i="1"/>
  <c r="R551" i="1"/>
  <c r="Q551" i="1"/>
  <c r="P551" i="1"/>
  <c r="O551" i="1"/>
  <c r="N551" i="1"/>
  <c r="AB545" i="1"/>
  <c r="AA545" i="1"/>
  <c r="Z545" i="1"/>
  <c r="Y545" i="1"/>
  <c r="W545" i="1"/>
  <c r="V545" i="1"/>
  <c r="U545" i="1"/>
  <c r="T545" i="1"/>
  <c r="S545" i="1"/>
  <c r="R545" i="1"/>
  <c r="Q545" i="1"/>
  <c r="P545" i="1"/>
  <c r="O545" i="1"/>
  <c r="N545" i="1"/>
  <c r="AA542" i="1"/>
  <c r="Z542" i="1"/>
  <c r="Y542" i="1"/>
  <c r="W542" i="1"/>
  <c r="V542" i="1"/>
  <c r="U542" i="1"/>
  <c r="T542" i="1"/>
  <c r="S542" i="1"/>
  <c r="R542" i="1"/>
  <c r="Q542" i="1"/>
  <c r="P542" i="1"/>
  <c r="O542" i="1"/>
  <c r="N542" i="1"/>
  <c r="W539" i="1"/>
  <c r="V539" i="1"/>
  <c r="U539" i="1"/>
  <c r="T539" i="1"/>
  <c r="S539" i="1"/>
  <c r="R539" i="1"/>
  <c r="Q539" i="1"/>
  <c r="P539" i="1"/>
  <c r="O539" i="1"/>
  <c r="N539" i="1"/>
  <c r="AC536" i="1"/>
  <c r="AB536" i="1"/>
  <c r="AA536" i="1"/>
  <c r="Z536" i="1"/>
  <c r="Y536" i="1"/>
  <c r="W536" i="1"/>
  <c r="V536" i="1"/>
  <c r="U536" i="1"/>
  <c r="T536" i="1"/>
  <c r="S536" i="1"/>
  <c r="R536" i="1"/>
  <c r="Q536" i="1"/>
  <c r="P536" i="1"/>
  <c r="O536" i="1"/>
  <c r="N536" i="1"/>
  <c r="V533" i="1"/>
  <c r="U533" i="1"/>
  <c r="T533" i="1"/>
  <c r="S533" i="1"/>
  <c r="R533" i="1"/>
  <c r="Q533" i="1"/>
  <c r="P533" i="1"/>
  <c r="O533" i="1"/>
  <c r="N533" i="1"/>
  <c r="AC530" i="1"/>
  <c r="AB530" i="1"/>
  <c r="AA530" i="1"/>
  <c r="Z530" i="1"/>
  <c r="Y530" i="1"/>
  <c r="W530" i="1"/>
  <c r="V530" i="1"/>
  <c r="U530" i="1"/>
  <c r="T530" i="1"/>
  <c r="S530" i="1"/>
  <c r="R530" i="1"/>
  <c r="Q530" i="1"/>
  <c r="P530" i="1"/>
  <c r="O530" i="1"/>
  <c r="N530" i="1"/>
  <c r="AB512" i="1"/>
  <c r="AA512" i="1"/>
  <c r="Z512" i="1"/>
  <c r="Y512" i="1"/>
  <c r="W512" i="1"/>
  <c r="V512" i="1"/>
  <c r="U512" i="1"/>
  <c r="T512" i="1"/>
  <c r="S512" i="1"/>
  <c r="R512" i="1"/>
  <c r="Q512" i="1"/>
  <c r="P512" i="1"/>
  <c r="O512" i="1"/>
  <c r="N512" i="1"/>
  <c r="S506" i="1"/>
  <c r="R506" i="1"/>
  <c r="Q506" i="1"/>
  <c r="P506" i="1"/>
  <c r="O506" i="1"/>
  <c r="N506" i="1"/>
  <c r="AB503" i="1"/>
  <c r="AA503" i="1"/>
  <c r="Z503" i="1"/>
  <c r="Y503" i="1"/>
  <c r="W503" i="1"/>
  <c r="V503" i="1"/>
  <c r="U503" i="1"/>
  <c r="T503" i="1"/>
  <c r="S503" i="1"/>
  <c r="R503" i="1"/>
  <c r="Q503" i="1"/>
  <c r="P503" i="1"/>
  <c r="O503" i="1"/>
  <c r="N503" i="1"/>
  <c r="V500" i="1"/>
  <c r="U500" i="1"/>
  <c r="T500" i="1"/>
  <c r="S500" i="1"/>
  <c r="R500" i="1"/>
  <c r="Q500" i="1"/>
  <c r="P500" i="1"/>
  <c r="O500" i="1"/>
  <c r="N500" i="1"/>
  <c r="S494" i="1"/>
  <c r="R494" i="1"/>
  <c r="Q494" i="1"/>
  <c r="P494" i="1"/>
  <c r="O494" i="1"/>
  <c r="N494" i="1"/>
  <c r="R491" i="1"/>
  <c r="Q491" i="1"/>
  <c r="P491" i="1"/>
  <c r="O491" i="1"/>
  <c r="N491" i="1"/>
  <c r="R485" i="1"/>
  <c r="Q485" i="1"/>
  <c r="P485" i="1"/>
  <c r="O485" i="1"/>
  <c r="N485" i="1"/>
  <c r="S479" i="1"/>
  <c r="R479" i="1"/>
  <c r="Q479" i="1"/>
  <c r="P479" i="1"/>
  <c r="O479" i="1"/>
  <c r="N479" i="1"/>
  <c r="AB476" i="1"/>
  <c r="AA476" i="1"/>
  <c r="Z476" i="1"/>
  <c r="Y476" i="1"/>
  <c r="W476" i="1"/>
  <c r="V476" i="1"/>
  <c r="U476" i="1"/>
  <c r="T476" i="1"/>
  <c r="S476" i="1"/>
  <c r="R476" i="1"/>
  <c r="Q476" i="1"/>
  <c r="P476" i="1"/>
  <c r="O476" i="1"/>
  <c r="N476" i="1"/>
  <c r="N473" i="1"/>
  <c r="Q445" i="1"/>
  <c r="P445" i="1"/>
  <c r="O445" i="1"/>
  <c r="N445" i="1"/>
  <c r="Q439" i="1"/>
  <c r="P439" i="1"/>
  <c r="O439" i="1"/>
  <c r="N439" i="1"/>
  <c r="AA457" i="1"/>
  <c r="Z457" i="1"/>
  <c r="Y457" i="1"/>
  <c r="W457" i="1"/>
  <c r="V457" i="1"/>
  <c r="U457" i="1"/>
  <c r="T457" i="1"/>
  <c r="S457" i="1"/>
  <c r="R457" i="1"/>
  <c r="Q457" i="1"/>
  <c r="P457" i="1"/>
  <c r="O457" i="1"/>
  <c r="N457" i="1"/>
  <c r="AA454" i="1"/>
  <c r="Z454" i="1"/>
  <c r="Y454" i="1"/>
  <c r="W454" i="1"/>
  <c r="V454" i="1"/>
  <c r="U454" i="1"/>
  <c r="T454" i="1"/>
  <c r="S454" i="1"/>
  <c r="R454" i="1"/>
  <c r="Q454" i="1"/>
  <c r="P454" i="1"/>
  <c r="O454" i="1"/>
  <c r="N454" i="1"/>
  <c r="AA451" i="1"/>
  <c r="Z451" i="1"/>
  <c r="Y451" i="1"/>
  <c r="W451" i="1"/>
  <c r="V451" i="1"/>
  <c r="U451" i="1"/>
  <c r="T451" i="1"/>
  <c r="S451" i="1"/>
  <c r="R451" i="1"/>
  <c r="Q451" i="1"/>
  <c r="P451" i="1"/>
  <c r="O451" i="1"/>
  <c r="N451" i="1"/>
  <c r="Z406" i="1"/>
  <c r="Y406" i="1"/>
  <c r="W406" i="1"/>
  <c r="V406" i="1"/>
  <c r="U406" i="1"/>
  <c r="T406" i="1"/>
  <c r="S406" i="1"/>
  <c r="R406" i="1"/>
  <c r="Q406" i="1"/>
  <c r="P406" i="1"/>
  <c r="O406" i="1"/>
  <c r="N406" i="1"/>
  <c r="Z393" i="1"/>
  <c r="Y393" i="1"/>
  <c r="V393" i="1"/>
  <c r="U393" i="1"/>
  <c r="T393" i="1"/>
  <c r="S393" i="1"/>
  <c r="R393" i="1"/>
  <c r="Q393" i="1"/>
  <c r="P393" i="1"/>
  <c r="O393" i="1"/>
  <c r="N393" i="1"/>
  <c r="P387" i="1"/>
  <c r="O387" i="1"/>
  <c r="N387" i="1"/>
  <c r="P384" i="1"/>
  <c r="O384" i="1"/>
  <c r="N384" i="1"/>
  <c r="P381" i="1"/>
  <c r="O381" i="1"/>
  <c r="N381" i="1"/>
  <c r="P378" i="1"/>
  <c r="O378" i="1"/>
  <c r="N378" i="1"/>
  <c r="Z375" i="1"/>
  <c r="Y375" i="1"/>
  <c r="V375" i="1"/>
  <c r="U375" i="1"/>
  <c r="T375" i="1"/>
  <c r="S375" i="1"/>
  <c r="R375" i="1"/>
  <c r="Q375" i="1"/>
  <c r="P375" i="1"/>
  <c r="O375" i="1"/>
  <c r="N375" i="1"/>
  <c r="Z372" i="1"/>
  <c r="Y372" i="1"/>
  <c r="V372" i="1"/>
  <c r="U372" i="1"/>
  <c r="T372" i="1"/>
  <c r="S372" i="1"/>
  <c r="R372" i="1"/>
  <c r="Q372" i="1"/>
  <c r="P372" i="1"/>
  <c r="O372" i="1"/>
  <c r="N372" i="1"/>
  <c r="P360" i="1"/>
  <c r="O360" i="1"/>
  <c r="N360" i="1"/>
  <c r="P351" i="1"/>
  <c r="O351" i="1"/>
  <c r="N351" i="1"/>
  <c r="P348" i="1"/>
  <c r="O348" i="1"/>
  <c r="N348" i="1"/>
  <c r="P345" i="1"/>
  <c r="O345" i="1"/>
  <c r="N345" i="1"/>
  <c r="P339" i="1"/>
  <c r="O339" i="1"/>
  <c r="N339" i="1"/>
  <c r="P336" i="1"/>
  <c r="O336" i="1"/>
  <c r="N336" i="1"/>
  <c r="P314" i="1"/>
  <c r="O314" i="1"/>
  <c r="N314" i="1"/>
  <c r="N287" i="1"/>
  <c r="O281" i="1"/>
  <c r="N281" i="1"/>
  <c r="S250" i="1"/>
  <c r="R250" i="1"/>
  <c r="Q250" i="1"/>
  <c r="P250" i="1"/>
  <c r="O250" i="1"/>
  <c r="N250" i="1"/>
  <c r="R247" i="1"/>
  <c r="Q247" i="1"/>
  <c r="P247" i="1"/>
  <c r="O247" i="1"/>
  <c r="N247" i="1"/>
  <c r="S244" i="1"/>
  <c r="R244" i="1"/>
  <c r="Q244" i="1"/>
  <c r="P244" i="1"/>
  <c r="O244" i="1"/>
  <c r="N244" i="1"/>
  <c r="N211" i="1"/>
  <c r="R238" i="1"/>
  <c r="Q238" i="1"/>
  <c r="P238" i="1"/>
  <c r="O238" i="1"/>
  <c r="N238" i="1"/>
  <c r="R235" i="1"/>
  <c r="Q235" i="1"/>
  <c r="P235" i="1"/>
  <c r="O235" i="1"/>
  <c r="N235" i="1"/>
  <c r="R232" i="1"/>
  <c r="Q232" i="1"/>
  <c r="P232" i="1"/>
  <c r="O232" i="1"/>
  <c r="N232" i="1"/>
  <c r="R226" i="1"/>
  <c r="Q226" i="1"/>
  <c r="P226" i="1"/>
  <c r="O226" i="1"/>
  <c r="N226" i="1"/>
  <c r="R223" i="1"/>
  <c r="Q223" i="1"/>
  <c r="P223" i="1"/>
  <c r="O223" i="1"/>
  <c r="N223" i="1"/>
  <c r="R220" i="1"/>
  <c r="Q220" i="1"/>
  <c r="P220" i="1"/>
  <c r="O220" i="1"/>
  <c r="N220" i="1"/>
  <c r="R241" i="1"/>
  <c r="Q241" i="1"/>
  <c r="P241" i="1"/>
  <c r="O241" i="1"/>
  <c r="N241" i="1"/>
  <c r="R229" i="1"/>
  <c r="Q229" i="1"/>
  <c r="P229" i="1"/>
  <c r="O229" i="1"/>
  <c r="O230" i="1" s="1"/>
  <c r="N229" i="1"/>
  <c r="R193" i="1"/>
  <c r="Q193" i="1"/>
  <c r="P193" i="1"/>
  <c r="O193" i="1"/>
  <c r="N193" i="1"/>
  <c r="Q190" i="1"/>
  <c r="P190" i="1"/>
  <c r="O190" i="1"/>
  <c r="N190" i="1"/>
  <c r="R196" i="1"/>
  <c r="Q196" i="1"/>
  <c r="P196" i="1"/>
  <c r="O196" i="1"/>
  <c r="N196" i="1"/>
  <c r="Q175" i="1"/>
  <c r="P175" i="1"/>
  <c r="O175" i="1"/>
  <c r="N175" i="1"/>
  <c r="P187" i="1"/>
  <c r="O187" i="1"/>
  <c r="N187" i="1"/>
  <c r="O181" i="1"/>
  <c r="N181" i="1"/>
  <c r="O217" i="1"/>
  <c r="N217" i="1"/>
  <c r="W117" i="1"/>
  <c r="V117" i="1"/>
  <c r="U117" i="1"/>
  <c r="T117" i="1"/>
  <c r="S117" i="1"/>
  <c r="R117" i="1"/>
  <c r="Q117" i="1"/>
  <c r="P117" i="1"/>
  <c r="O117" i="1"/>
  <c r="N117" i="1"/>
  <c r="R86" i="1"/>
  <c r="Q86" i="1"/>
  <c r="P86" i="1"/>
  <c r="O86" i="1"/>
  <c r="N86" i="1"/>
  <c r="W83" i="1"/>
  <c r="V83" i="1"/>
  <c r="U83" i="1"/>
  <c r="T83" i="1"/>
  <c r="S83" i="1"/>
  <c r="R83" i="1"/>
  <c r="Q83" i="1"/>
  <c r="P83" i="1"/>
  <c r="O83" i="1"/>
  <c r="N83" i="1"/>
  <c r="Q80" i="1"/>
  <c r="P80" i="1"/>
  <c r="O80" i="1"/>
  <c r="N80" i="1"/>
  <c r="W101" i="1"/>
  <c r="V101" i="1"/>
  <c r="U101" i="1"/>
  <c r="T101" i="1"/>
  <c r="S101" i="1"/>
  <c r="R101" i="1"/>
  <c r="Q101" i="1"/>
  <c r="P101" i="1"/>
  <c r="O101" i="1"/>
  <c r="N101" i="1"/>
  <c r="W98" i="1"/>
  <c r="V98" i="1"/>
  <c r="U98" i="1"/>
  <c r="T98" i="1"/>
  <c r="T99" i="1" s="1"/>
  <c r="S98" i="1"/>
  <c r="R98" i="1"/>
  <c r="Q98" i="1"/>
  <c r="P98" i="1"/>
  <c r="O98" i="1"/>
  <c r="N98" i="1"/>
  <c r="W95" i="1"/>
  <c r="V95" i="1"/>
  <c r="U95" i="1"/>
  <c r="T95" i="1"/>
  <c r="S95" i="1"/>
  <c r="S96" i="1" s="1"/>
  <c r="R95" i="1"/>
  <c r="Q95" i="1"/>
  <c r="P95" i="1"/>
  <c r="O95" i="1"/>
  <c r="N95" i="1"/>
  <c r="W74" i="1"/>
  <c r="V74" i="1"/>
  <c r="U74" i="1"/>
  <c r="T74" i="1"/>
  <c r="S74" i="1"/>
  <c r="R74" i="1"/>
  <c r="Q74" i="1"/>
  <c r="P74" i="1"/>
  <c r="O74" i="1"/>
  <c r="N74" i="1"/>
  <c r="W56" i="1"/>
  <c r="V56" i="1"/>
  <c r="U56" i="1"/>
  <c r="T56" i="1"/>
  <c r="S56" i="1"/>
  <c r="R56" i="1"/>
  <c r="Q56" i="1"/>
  <c r="P56" i="1"/>
  <c r="O56" i="1"/>
  <c r="N56" i="1"/>
  <c r="U53" i="1"/>
  <c r="T53" i="1"/>
  <c r="S53" i="1"/>
  <c r="R53" i="1"/>
  <c r="Q53" i="1"/>
  <c r="P53" i="1"/>
  <c r="O53" i="1"/>
  <c r="N53" i="1"/>
  <c r="W50" i="1"/>
  <c r="V50" i="1"/>
  <c r="U50" i="1"/>
  <c r="T50" i="1"/>
  <c r="S50" i="1"/>
  <c r="R50" i="1"/>
  <c r="Q50" i="1"/>
  <c r="P50" i="1"/>
  <c r="O50" i="1"/>
  <c r="N50" i="1"/>
  <c r="W47" i="1"/>
  <c r="V47" i="1"/>
  <c r="U47" i="1"/>
  <c r="T47" i="1"/>
  <c r="S47" i="1"/>
  <c r="R47" i="1"/>
  <c r="Q47" i="1"/>
  <c r="P47" i="1"/>
  <c r="O47" i="1"/>
  <c r="N47" i="1"/>
  <c r="W44" i="1"/>
  <c r="V44" i="1"/>
  <c r="U44" i="1"/>
  <c r="T44" i="1"/>
  <c r="S44" i="1"/>
  <c r="R44" i="1"/>
  <c r="Q44" i="1"/>
  <c r="P44" i="1"/>
  <c r="O44" i="1"/>
  <c r="N44" i="1"/>
  <c r="V41" i="1"/>
  <c r="U41" i="1"/>
  <c r="T41" i="1"/>
  <c r="S41" i="1"/>
  <c r="R41" i="1"/>
  <c r="Q41" i="1"/>
  <c r="P41" i="1"/>
  <c r="O41" i="1"/>
  <c r="N41" i="1"/>
  <c r="W38" i="1"/>
  <c r="V38" i="1"/>
  <c r="U38" i="1"/>
  <c r="T38" i="1"/>
  <c r="S38" i="1"/>
  <c r="R38" i="1"/>
  <c r="Q38" i="1"/>
  <c r="P38" i="1"/>
  <c r="O38" i="1"/>
  <c r="N38" i="1"/>
  <c r="N39" i="1" s="1"/>
  <c r="S13" i="1"/>
  <c r="S14" i="1" s="1"/>
  <c r="R13" i="1"/>
  <c r="Q13" i="1"/>
  <c r="P13" i="1"/>
  <c r="O13" i="1"/>
  <c r="N13" i="1"/>
  <c r="S22" i="1"/>
  <c r="R22" i="1"/>
  <c r="Q22" i="1"/>
  <c r="P22" i="1"/>
  <c r="O22" i="1"/>
  <c r="N22" i="1"/>
  <c r="S28" i="1"/>
  <c r="R28" i="1"/>
  <c r="Q28" i="1"/>
  <c r="P28" i="1"/>
  <c r="O28" i="1"/>
  <c r="N28" i="1"/>
  <c r="N1533" i="1"/>
  <c r="N1618" i="1"/>
  <c r="N1528" i="1"/>
  <c r="T1528" i="1"/>
  <c r="S1528" i="1"/>
  <c r="R1528" i="1"/>
  <c r="Q1528" i="1"/>
  <c r="P1528" i="1"/>
  <c r="O1528" i="1"/>
  <c r="V1543" i="1"/>
  <c r="V1696" i="1" s="1"/>
  <c r="U1543" i="1"/>
  <c r="U1696" i="1" s="1"/>
  <c r="T1543" i="1"/>
  <c r="S1543" i="1"/>
  <c r="R1543" i="1"/>
  <c r="Q1543" i="1"/>
  <c r="P1543" i="1"/>
  <c r="O1543" i="1"/>
  <c r="N1543" i="1"/>
  <c r="AC548" i="1" l="1"/>
  <c r="Q214" i="1"/>
  <c r="R214" i="1"/>
  <c r="Q1696" i="1"/>
  <c r="Q1697" i="1" s="1"/>
  <c r="Q1660" i="1"/>
  <c r="S1696" i="1"/>
  <c r="S1697" i="1" s="1"/>
  <c r="S1660" i="1"/>
  <c r="U1697" i="1"/>
  <c r="U1660" i="1"/>
  <c r="Q253" i="1"/>
  <c r="Q254" i="1" s="1"/>
  <c r="S253" i="1"/>
  <c r="S254" i="1" s="1"/>
  <c r="P1660" i="1"/>
  <c r="P1696" i="1"/>
  <c r="P1697" i="1" s="1"/>
  <c r="R1660" i="1"/>
  <c r="R1696" i="1"/>
  <c r="R1697" i="1" s="1"/>
  <c r="T1696" i="1"/>
  <c r="T1697" i="1" s="1"/>
  <c r="T1660" i="1"/>
  <c r="P214" i="1"/>
  <c r="P253" i="1"/>
  <c r="R253" i="1"/>
  <c r="R254" i="1" s="1"/>
  <c r="V1697" i="1"/>
  <c r="V1660" i="1"/>
  <c r="T1529" i="1"/>
  <c r="O1696" i="1"/>
  <c r="O1660" i="1"/>
  <c r="S1548" i="1"/>
  <c r="R1548" i="1"/>
  <c r="Q1548" i="1"/>
  <c r="P1548" i="1"/>
  <c r="O1548" i="1"/>
  <c r="N1548" i="1"/>
  <c r="S1518" i="1" l="1"/>
  <c r="R1518" i="1"/>
  <c r="Q1518" i="1"/>
  <c r="P1518" i="1"/>
  <c r="O1518" i="1"/>
  <c r="N1518" i="1"/>
  <c r="S1523" i="1"/>
  <c r="R1523" i="1"/>
  <c r="Q1523" i="1"/>
  <c r="P1523" i="1"/>
  <c r="O1523" i="1"/>
  <c r="N1523" i="1"/>
  <c r="U1538" i="1"/>
  <c r="U1730" i="1" s="1"/>
  <c r="T1538" i="1"/>
  <c r="S1538" i="1"/>
  <c r="R1538" i="1"/>
  <c r="Q1538" i="1"/>
  <c r="P1538" i="1"/>
  <c r="O1538" i="1"/>
  <c r="N1538" i="1"/>
  <c r="N1730" i="1" s="1"/>
  <c r="N1731" i="1" s="1"/>
  <c r="T1533" i="1"/>
  <c r="S1533" i="1"/>
  <c r="Q1533" i="1"/>
  <c r="P1533" i="1"/>
  <c r="O1533" i="1"/>
  <c r="P1683" i="1" l="1"/>
  <c r="S1730" i="1"/>
  <c r="S1731" i="1" s="1"/>
  <c r="S1683" i="1"/>
  <c r="R1683" i="1"/>
  <c r="R1730" i="1"/>
  <c r="R1731" i="1" s="1"/>
  <c r="R1709" i="1"/>
  <c r="R1710" i="1" s="1"/>
  <c r="T1730" i="1"/>
  <c r="T1731" i="1" s="1"/>
  <c r="T1683" i="1"/>
  <c r="U1731" i="1"/>
  <c r="U1683" i="1"/>
  <c r="S1709" i="1"/>
  <c r="S1710" i="1" s="1"/>
  <c r="S1670" i="1"/>
  <c r="R1670" i="1"/>
  <c r="Q1683" i="1"/>
  <c r="Q1730" i="1"/>
  <c r="Q1731" i="1" s="1"/>
  <c r="Q1670" i="1"/>
  <c r="Q1709" i="1"/>
  <c r="Q1710" i="1" s="1"/>
  <c r="N1709" i="1"/>
  <c r="N1710" i="1" s="1"/>
  <c r="AP1618" i="1"/>
  <c r="AP1647" i="1" s="1"/>
  <c r="AP1617" i="1"/>
  <c r="AP1646" i="1" s="1"/>
  <c r="AO1618" i="1"/>
  <c r="AO1647" i="1" s="1"/>
  <c r="AO1617" i="1"/>
  <c r="AO1646" i="1" s="1"/>
  <c r="AN1618" i="1"/>
  <c r="AN1647" i="1" s="1"/>
  <c r="AN1617" i="1"/>
  <c r="AN1646" i="1" s="1"/>
  <c r="AM1618" i="1"/>
  <c r="AM1647" i="1" s="1"/>
  <c r="AM1617" i="1"/>
  <c r="AM1646" i="1" s="1"/>
  <c r="AL1618" i="1"/>
  <c r="AL1647" i="1" s="1"/>
  <c r="AL1617" i="1"/>
  <c r="AL1646" i="1" s="1"/>
  <c r="AK1618" i="1"/>
  <c r="AK1647" i="1" s="1"/>
  <c r="AK1617" i="1"/>
  <c r="AK1646" i="1" s="1"/>
  <c r="AJ1618" i="1"/>
  <c r="AJ1647" i="1" s="1"/>
  <c r="AI1618" i="1"/>
  <c r="AI1647" i="1" s="1"/>
  <c r="AH1618" i="1"/>
  <c r="AH1647" i="1" s="1"/>
  <c r="AG1618" i="1"/>
  <c r="AG1647" i="1" s="1"/>
  <c r="AF1618" i="1"/>
  <c r="AF1647" i="1" s="1"/>
  <c r="AE1618" i="1"/>
  <c r="AE1647" i="1" s="1"/>
  <c r="AD1618" i="1"/>
  <c r="AC1618" i="1"/>
  <c r="AB1618" i="1"/>
  <c r="AA1618" i="1"/>
  <c r="Z1618" i="1"/>
  <c r="Y1618" i="1"/>
  <c r="W1618" i="1"/>
  <c r="V1618" i="1"/>
  <c r="U1618" i="1"/>
  <c r="T1618" i="1"/>
  <c r="S1618" i="1"/>
  <c r="R1618" i="1"/>
  <c r="Q1618" i="1"/>
  <c r="P1618" i="1"/>
  <c r="O1618" i="1"/>
  <c r="AD1588" i="1"/>
  <c r="AD1587" i="1"/>
  <c r="AC1588" i="1"/>
  <c r="AC1587" i="1"/>
  <c r="AB1588" i="1"/>
  <c r="AB1587" i="1"/>
  <c r="AA1588" i="1"/>
  <c r="AA1587" i="1"/>
  <c r="Z1588" i="1"/>
  <c r="Z1587" i="1"/>
  <c r="Y1588" i="1"/>
  <c r="Y1587" i="1"/>
  <c r="W1588" i="1"/>
  <c r="W1587" i="1"/>
  <c r="V1588" i="1"/>
  <c r="V1587" i="1"/>
  <c r="U1588" i="1"/>
  <c r="U1587" i="1"/>
  <c r="T1588" i="1"/>
  <c r="T1587" i="1"/>
  <c r="S1588" i="1"/>
  <c r="S1587" i="1"/>
  <c r="R1588" i="1"/>
  <c r="R1587" i="1"/>
  <c r="Q1588" i="1"/>
  <c r="Q1587" i="1"/>
  <c r="P1588" i="1"/>
  <c r="O1588" i="1"/>
  <c r="O1587" i="1"/>
  <c r="N1588" i="1"/>
  <c r="N1587" i="1"/>
  <c r="AD1598" i="1"/>
  <c r="AD1597" i="1"/>
  <c r="AC1598" i="1"/>
  <c r="AC1597" i="1"/>
  <c r="AB1598" i="1"/>
  <c r="AB1597" i="1"/>
  <c r="AA1598" i="1"/>
  <c r="AA1597" i="1"/>
  <c r="Z1598" i="1"/>
  <c r="Z1597" i="1"/>
  <c r="Y1598" i="1"/>
  <c r="Y1597" i="1"/>
  <c r="W1598" i="1"/>
  <c r="W1597" i="1"/>
  <c r="V1598" i="1"/>
  <c r="V1597" i="1"/>
  <c r="U1598" i="1"/>
  <c r="U1597" i="1"/>
  <c r="T1598" i="1"/>
  <c r="T1597" i="1"/>
  <c r="S1598" i="1"/>
  <c r="S1597" i="1"/>
  <c r="R1598" i="1"/>
  <c r="R1597" i="1"/>
  <c r="Q1598" i="1"/>
  <c r="Q1597" i="1"/>
  <c r="P1598" i="1"/>
  <c r="P1597" i="1"/>
  <c r="O1598" i="1"/>
  <c r="O1597" i="1"/>
  <c r="N1598" i="1"/>
  <c r="N1597" i="1"/>
  <c r="Y1593" i="1"/>
  <c r="Y1592" i="1"/>
  <c r="W1593" i="1"/>
  <c r="W1592" i="1"/>
  <c r="V1593" i="1"/>
  <c r="V1592" i="1"/>
  <c r="U1593" i="1"/>
  <c r="U1592" i="1"/>
  <c r="T1593" i="1"/>
  <c r="T1592" i="1"/>
  <c r="S1593" i="1"/>
  <c r="S1592" i="1"/>
  <c r="R1593" i="1"/>
  <c r="R1592" i="1"/>
  <c r="Q1593" i="1"/>
  <c r="Q1592" i="1"/>
  <c r="P1593" i="1"/>
  <c r="P1592" i="1"/>
  <c r="O1593" i="1"/>
  <c r="O1592" i="1"/>
  <c r="N1593" i="1"/>
  <c r="N1592" i="1"/>
  <c r="AD1603" i="1"/>
  <c r="AD1602" i="1"/>
  <c r="AC1602" i="1"/>
  <c r="AC1603" i="1"/>
  <c r="AB1603" i="1"/>
  <c r="AB1602" i="1"/>
  <c r="AA1603" i="1"/>
  <c r="AA1602" i="1"/>
  <c r="AA1646" i="1" s="1"/>
  <c r="Z1603" i="1"/>
  <c r="Z1602" i="1"/>
  <c r="Y1603" i="1"/>
  <c r="Y1602" i="1"/>
  <c r="W1603" i="1"/>
  <c r="W1602" i="1"/>
  <c r="V1603" i="1"/>
  <c r="V1602" i="1"/>
  <c r="U1603" i="1"/>
  <c r="U1602" i="1"/>
  <c r="T1603" i="1"/>
  <c r="T1602" i="1"/>
  <c r="S1603" i="1"/>
  <c r="S1602" i="1"/>
  <c r="R1603" i="1"/>
  <c r="R1602" i="1"/>
  <c r="Q1603" i="1"/>
  <c r="Q1602" i="1"/>
  <c r="P1603" i="1"/>
  <c r="P1602" i="1"/>
  <c r="O1603" i="1"/>
  <c r="O1602" i="1"/>
  <c r="N1603" i="1"/>
  <c r="N1602" i="1"/>
  <c r="AA1578" i="1"/>
  <c r="AA1577" i="1"/>
  <c r="Z1578" i="1"/>
  <c r="Z1577" i="1"/>
  <c r="Y1578" i="1"/>
  <c r="Y1577" i="1"/>
  <c r="W1578" i="1"/>
  <c r="V1578" i="1"/>
  <c r="V1577" i="1"/>
  <c r="U1578" i="1"/>
  <c r="U1577" i="1"/>
  <c r="T1578" i="1"/>
  <c r="T1577" i="1"/>
  <c r="S1578" i="1"/>
  <c r="S1577" i="1"/>
  <c r="R1578" i="1"/>
  <c r="R1577" i="1"/>
  <c r="Q1578" i="1"/>
  <c r="Q1577" i="1"/>
  <c r="P1578" i="1"/>
  <c r="P1577" i="1"/>
  <c r="O1578" i="1"/>
  <c r="O1577" i="1"/>
  <c r="N1578" i="1"/>
  <c r="N1577" i="1"/>
  <c r="Z1573" i="1"/>
  <c r="Z1572" i="1"/>
  <c r="Y1573" i="1"/>
  <c r="Y1572" i="1"/>
  <c r="W1573" i="1"/>
  <c r="V1573" i="1"/>
  <c r="V1572" i="1"/>
  <c r="U1573" i="1"/>
  <c r="U1572" i="1"/>
  <c r="T1573" i="1"/>
  <c r="T1572" i="1"/>
  <c r="S1573" i="1"/>
  <c r="S1572" i="1"/>
  <c r="R1573" i="1"/>
  <c r="R1572" i="1"/>
  <c r="Q1573" i="1"/>
  <c r="Q1572" i="1"/>
  <c r="P1573" i="1"/>
  <c r="P1572" i="1"/>
  <c r="O1573" i="1"/>
  <c r="O1572" i="1"/>
  <c r="N1573" i="1"/>
  <c r="N1572" i="1"/>
  <c r="Y1583" i="1"/>
  <c r="Y1582" i="1"/>
  <c r="W1583" i="1"/>
  <c r="V1583" i="1"/>
  <c r="V1582" i="1"/>
  <c r="U1583" i="1"/>
  <c r="U1582" i="1"/>
  <c r="T1583" i="1"/>
  <c r="T1582" i="1"/>
  <c r="S1583" i="1"/>
  <c r="S1582" i="1"/>
  <c r="R1583" i="1"/>
  <c r="R1582" i="1"/>
  <c r="Q1583" i="1"/>
  <c r="Q1582" i="1"/>
  <c r="P1583" i="1"/>
  <c r="P1582" i="1"/>
  <c r="O1583" i="1"/>
  <c r="O1582" i="1"/>
  <c r="N1583" i="1"/>
  <c r="N1582" i="1"/>
  <c r="Y1568" i="1"/>
  <c r="Y1718" i="1" s="1"/>
  <c r="Y1567" i="1"/>
  <c r="Y1717" i="1" s="1"/>
  <c r="W1568" i="1"/>
  <c r="V1568" i="1"/>
  <c r="V1567" i="1"/>
  <c r="U1568" i="1"/>
  <c r="U1567" i="1"/>
  <c r="T1568" i="1"/>
  <c r="T1567" i="1"/>
  <c r="S1568" i="1"/>
  <c r="S1567" i="1"/>
  <c r="R1568" i="1"/>
  <c r="R1567" i="1"/>
  <c r="Q1568" i="1"/>
  <c r="Q1567" i="1"/>
  <c r="P1568" i="1"/>
  <c r="P1567" i="1"/>
  <c r="O1568" i="1"/>
  <c r="O1567" i="1"/>
  <c r="N1568" i="1"/>
  <c r="N1567" i="1"/>
  <c r="N1563" i="1"/>
  <c r="W1563" i="1"/>
  <c r="V1563" i="1"/>
  <c r="U1563" i="1"/>
  <c r="T1563" i="1"/>
  <c r="S1563" i="1"/>
  <c r="R1563" i="1"/>
  <c r="Q1563" i="1"/>
  <c r="P1563" i="1"/>
  <c r="O1563" i="1"/>
  <c r="U1562" i="1"/>
  <c r="T1562" i="1"/>
  <c r="S1562" i="1"/>
  <c r="R1562" i="1"/>
  <c r="Q1562" i="1"/>
  <c r="P1562" i="1"/>
  <c r="O1562" i="1"/>
  <c r="N1562" i="1"/>
  <c r="N1558" i="1"/>
  <c r="W1558" i="1"/>
  <c r="V1558" i="1"/>
  <c r="U1558" i="1"/>
  <c r="T1558" i="1"/>
  <c r="S1558" i="1"/>
  <c r="R1558" i="1"/>
  <c r="Q1558" i="1"/>
  <c r="P1558" i="1"/>
  <c r="O1558" i="1"/>
  <c r="T1557" i="1"/>
  <c r="S1557" i="1"/>
  <c r="R1557" i="1"/>
  <c r="Q1557" i="1"/>
  <c r="P1557" i="1"/>
  <c r="O1557" i="1"/>
  <c r="N1557" i="1"/>
  <c r="W1553" i="1"/>
  <c r="V1553" i="1"/>
  <c r="U1553" i="1"/>
  <c r="T1553" i="1"/>
  <c r="S1553" i="1"/>
  <c r="R1553" i="1"/>
  <c r="Q1553" i="1"/>
  <c r="P1553" i="1"/>
  <c r="O1553" i="1"/>
  <c r="N1553" i="1"/>
  <c r="T1552" i="1"/>
  <c r="S1552" i="1"/>
  <c r="R1552" i="1"/>
  <c r="Q1552" i="1"/>
  <c r="P1552" i="1"/>
  <c r="O1552" i="1"/>
  <c r="N1552" i="1"/>
  <c r="Z1717" i="1" l="1"/>
  <c r="AD1647" i="1"/>
  <c r="AA1647" i="1"/>
  <c r="AB1647" i="1"/>
  <c r="AB1646" i="1"/>
  <c r="AC1647" i="1"/>
  <c r="AC1655" i="1" s="1"/>
  <c r="AC1646" i="1"/>
  <c r="Z1646" i="1"/>
  <c r="AD1646" i="1"/>
  <c r="AD1654" i="1" s="1"/>
  <c r="Z1647" i="1"/>
  <c r="Z1655" i="1" s="1"/>
  <c r="AB1675" i="1"/>
  <c r="AB1718" i="1"/>
  <c r="AI1675" i="1"/>
  <c r="AI1718" i="1"/>
  <c r="AI1719" i="1" s="1"/>
  <c r="AI1735" i="1" s="1"/>
  <c r="AI1655" i="1"/>
  <c r="AN1654" i="1"/>
  <c r="AN1717" i="1"/>
  <c r="AC1717" i="1"/>
  <c r="AJ1655" i="1"/>
  <c r="AJ1656" i="1" s="1"/>
  <c r="AJ1675" i="1"/>
  <c r="AJ1688" i="1" s="1"/>
  <c r="AJ1718" i="1"/>
  <c r="AN1675" i="1"/>
  <c r="AN1688" i="1" s="1"/>
  <c r="AN1718" i="1"/>
  <c r="AN1655" i="1"/>
  <c r="AC1675" i="1"/>
  <c r="AC1718" i="1"/>
  <c r="AK1717" i="1"/>
  <c r="AK1654" i="1"/>
  <c r="AK1687" i="1"/>
  <c r="AO1717" i="1"/>
  <c r="AO1654" i="1"/>
  <c r="AO1687" i="1"/>
  <c r="AD1717" i="1"/>
  <c r="AD1687" i="1"/>
  <c r="AK1718" i="1"/>
  <c r="AK1675" i="1"/>
  <c r="AK1688" i="1" s="1"/>
  <c r="AK1655" i="1"/>
  <c r="AO1718" i="1"/>
  <c r="AO1675" i="1"/>
  <c r="AO1688" i="1" s="1"/>
  <c r="AO1655" i="1"/>
  <c r="AD1718" i="1"/>
  <c r="AD1675" i="1"/>
  <c r="AD1688" i="1" s="1"/>
  <c r="AE1675" i="1"/>
  <c r="AE1688" i="1" s="1"/>
  <c r="AE1718" i="1"/>
  <c r="AE1719" i="1" s="1"/>
  <c r="AE1735" i="1" s="1"/>
  <c r="AE1655" i="1"/>
  <c r="AL1654" i="1"/>
  <c r="AL1656" i="1" s="1"/>
  <c r="AL1717" i="1"/>
  <c r="AP1654" i="1"/>
  <c r="AP1717" i="1"/>
  <c r="AP1687" i="1"/>
  <c r="AF1718" i="1"/>
  <c r="AF1719" i="1" s="1"/>
  <c r="AF1735" i="1" s="1"/>
  <c r="AF1675" i="1"/>
  <c r="AF1688" i="1" s="1"/>
  <c r="AF1655" i="1"/>
  <c r="AL1718" i="1"/>
  <c r="AL1675" i="1"/>
  <c r="AL1655" i="1"/>
  <c r="AP1718" i="1"/>
  <c r="AP1675" i="1"/>
  <c r="AP1688" i="1" s="1"/>
  <c r="AP1655" i="1"/>
  <c r="Z1718" i="1"/>
  <c r="Z1675" i="1"/>
  <c r="Z1688" i="1" s="1"/>
  <c r="AA1717" i="1"/>
  <c r="AG1718" i="1"/>
  <c r="AG1675" i="1"/>
  <c r="AG1655" i="1"/>
  <c r="AM1654" i="1"/>
  <c r="AM1717" i="1"/>
  <c r="AM1687" i="1"/>
  <c r="AA1718" i="1"/>
  <c r="AA1675" i="1"/>
  <c r="AA1688" i="1" s="1"/>
  <c r="AB1717" i="1"/>
  <c r="AH1655" i="1"/>
  <c r="AH1718" i="1"/>
  <c r="AH1675" i="1"/>
  <c r="AH1688" i="1" s="1"/>
  <c r="AM1675" i="1"/>
  <c r="AM1688" i="1" s="1"/>
  <c r="AM1718" i="1"/>
  <c r="AM1655" i="1"/>
  <c r="AA1655" i="1"/>
  <c r="AB1655" i="1"/>
  <c r="Y1719" i="1"/>
  <c r="Y1735" i="1" s="1"/>
  <c r="AD1655" i="1"/>
  <c r="Y1646" i="1"/>
  <c r="Y1647" i="1"/>
  <c r="AB1688" i="1"/>
  <c r="AI1688" i="1"/>
  <c r="AC1688" i="1"/>
  <c r="AL1688" i="1"/>
  <c r="AJ1719" i="1"/>
  <c r="AJ1735" i="1" s="1"/>
  <c r="AG1719" i="1"/>
  <c r="AG1735" i="1" s="1"/>
  <c r="AG1688" i="1"/>
  <c r="AH1719" i="1"/>
  <c r="AH1735" i="1" s="1"/>
  <c r="Y1675" i="1"/>
  <c r="Y1688" i="1" s="1"/>
  <c r="V1717" i="1"/>
  <c r="U1717" i="1"/>
  <c r="T1717" i="1"/>
  <c r="U1718" i="1"/>
  <c r="V1718" i="1"/>
  <c r="W1718" i="1"/>
  <c r="W1675" i="1"/>
  <c r="W1688" i="1" s="1"/>
  <c r="W1717" i="1"/>
  <c r="Q1717" i="1"/>
  <c r="S1717" i="1"/>
  <c r="Q1646" i="1"/>
  <c r="Q1647" i="1"/>
  <c r="Q1655" i="1" s="1"/>
  <c r="P1675" i="1"/>
  <c r="P1718" i="1"/>
  <c r="R1718" i="1"/>
  <c r="R1675" i="1"/>
  <c r="T1675" i="1"/>
  <c r="T1718" i="1"/>
  <c r="Q1675" i="1"/>
  <c r="Q1718" i="1"/>
  <c r="S1675" i="1"/>
  <c r="S1718" i="1"/>
  <c r="U1675" i="1"/>
  <c r="P1717" i="1"/>
  <c r="R1717" i="1"/>
  <c r="S1646" i="1"/>
  <c r="T1646" i="1"/>
  <c r="U1646" i="1"/>
  <c r="V1646" i="1"/>
  <c r="W1646" i="1"/>
  <c r="S1647" i="1"/>
  <c r="U1647" i="1"/>
  <c r="W1647" i="1"/>
  <c r="V1675" i="1"/>
  <c r="P1647" i="1"/>
  <c r="P1655" i="1" s="1"/>
  <c r="R1647" i="1"/>
  <c r="T1647" i="1"/>
  <c r="V1647" i="1"/>
  <c r="R1646" i="1"/>
  <c r="P1646" i="1"/>
  <c r="O1646" i="1"/>
  <c r="O1647" i="1"/>
  <c r="N1717" i="1"/>
  <c r="S1604" i="1"/>
  <c r="Y1589" i="1"/>
  <c r="P1604" i="1"/>
  <c r="U1604" i="1"/>
  <c r="Z1589" i="1"/>
  <c r="O1718" i="1"/>
  <c r="O1675" i="1"/>
  <c r="O1717" i="1"/>
  <c r="N1718" i="1"/>
  <c r="R1579" i="1"/>
  <c r="O1604" i="1"/>
  <c r="AG1619" i="1"/>
  <c r="Y1648" i="1" l="1"/>
  <c r="AC1676" i="1"/>
  <c r="AK1719" i="1"/>
  <c r="AK1735" i="1" s="1"/>
  <c r="AK1736" i="1" s="1"/>
  <c r="T1719" i="1"/>
  <c r="V1719" i="1"/>
  <c r="AP1689" i="1"/>
  <c r="AM1719" i="1"/>
  <c r="AL1719" i="1"/>
  <c r="AL1735" i="1" s="1"/>
  <c r="AN1689" i="1"/>
  <c r="AO1689" i="1"/>
  <c r="AP1648" i="1"/>
  <c r="AP1719" i="1"/>
  <c r="AP1735" i="1" s="1"/>
  <c r="AA1719" i="1"/>
  <c r="AA1735" i="1" s="1"/>
  <c r="AM1648" i="1"/>
  <c r="AM1676" i="1"/>
  <c r="AH1676" i="1"/>
  <c r="AI1736" i="1"/>
  <c r="AI1720" i="1"/>
  <c r="AK1720" i="1"/>
  <c r="AJ1736" i="1"/>
  <c r="AJ1720" i="1"/>
  <c r="AO1719" i="1"/>
  <c r="AO1735" i="1" s="1"/>
  <c r="S1719" i="1"/>
  <c r="S1648" i="1"/>
  <c r="AC1719" i="1"/>
  <c r="AC1735" i="1" s="1"/>
  <c r="U1648" i="1"/>
  <c r="N1719" i="1"/>
  <c r="T1648" i="1"/>
  <c r="Z1719" i="1"/>
  <c r="Z1735" i="1" s="1"/>
  <c r="U1719" i="1"/>
  <c r="U1735" i="1" s="1"/>
  <c r="Q1719" i="1"/>
  <c r="Q1735" i="1" s="1"/>
  <c r="W1719" i="1"/>
  <c r="AD1719" i="1"/>
  <c r="AN1719" i="1"/>
  <c r="AN1735" i="1" s="1"/>
  <c r="AB1719" i="1"/>
  <c r="AB1735" i="1" s="1"/>
  <c r="W1648" i="1"/>
  <c r="AB1648" i="1"/>
  <c r="AP1676" i="1"/>
  <c r="AO1648" i="1"/>
  <c r="AN1676" i="1"/>
  <c r="AM1656" i="1"/>
  <c r="AL1676" i="1"/>
  <c r="AK1648" i="1"/>
  <c r="AJ1676" i="1"/>
  <c r="AH1648" i="1"/>
  <c r="AH1720" i="1"/>
  <c r="AH1736" i="1"/>
  <c r="AF1720" i="1"/>
  <c r="AC1648" i="1"/>
  <c r="Y1655" i="1"/>
  <c r="AI1648" i="1"/>
  <c r="AG1720" i="1"/>
  <c r="AG1736" i="1"/>
  <c r="AE1648" i="1"/>
  <c r="AE1676" i="1"/>
  <c r="AD1656" i="1"/>
  <c r="AD1648" i="1"/>
  <c r="Z1648" i="1"/>
  <c r="AO1676" i="1"/>
  <c r="AN1648" i="1"/>
  <c r="AL1648" i="1"/>
  <c r="AK1676" i="1"/>
  <c r="AK1689" i="1"/>
  <c r="AJ1648" i="1"/>
  <c r="AF1648" i="1"/>
  <c r="AF1676" i="1"/>
  <c r="AD1689" i="1"/>
  <c r="AD1676" i="1"/>
  <c r="AA1648" i="1"/>
  <c r="AI1676" i="1"/>
  <c r="AG1648" i="1"/>
  <c r="AG1676" i="1"/>
  <c r="AE1736" i="1"/>
  <c r="AE1720" i="1"/>
  <c r="V1655" i="1"/>
  <c r="V1648" i="1"/>
  <c r="U1688" i="1"/>
  <c r="R1719" i="1"/>
  <c r="V1688" i="1"/>
  <c r="R1648" i="1"/>
  <c r="R1655" i="1"/>
  <c r="Q1648" i="1"/>
  <c r="Q1688" i="1"/>
  <c r="P1648" i="1"/>
  <c r="P1651" i="1" s="1"/>
  <c r="AD1720" i="1" l="1"/>
  <c r="AD1735" i="1"/>
  <c r="AM1720" i="1"/>
  <c r="AM1735" i="1"/>
  <c r="AM1736" i="1" s="1"/>
  <c r="AL1720" i="1"/>
  <c r="AP1736" i="1"/>
  <c r="AP1720" i="1"/>
  <c r="AO1736" i="1"/>
  <c r="AO1720" i="1"/>
  <c r="AN1736" i="1"/>
  <c r="AN1720" i="1"/>
  <c r="AL1736" i="1"/>
  <c r="R1735" i="1"/>
  <c r="Z826" i="1"/>
  <c r="AA826" i="1"/>
  <c r="AB826" i="1"/>
  <c r="Z827" i="1"/>
  <c r="AA827" i="1"/>
  <c r="AB827" i="1"/>
  <c r="Y827" i="1"/>
  <c r="Y826" i="1"/>
  <c r="W826" i="1"/>
  <c r="W827" i="1"/>
  <c r="V827" i="1"/>
  <c r="V826" i="1"/>
  <c r="U827" i="1"/>
  <c r="U826" i="1"/>
  <c r="T826" i="1"/>
  <c r="T827" i="1"/>
  <c r="S827" i="1"/>
  <c r="S826" i="1"/>
  <c r="R827" i="1"/>
  <c r="R826" i="1"/>
  <c r="Q827" i="1"/>
  <c r="Q826" i="1"/>
  <c r="P827" i="1"/>
  <c r="P826" i="1"/>
  <c r="AB832" i="1"/>
  <c r="AB833" i="1"/>
  <c r="O832" i="1"/>
  <c r="P832" i="1"/>
  <c r="Q832" i="1"/>
  <c r="R832" i="1"/>
  <c r="S832" i="1"/>
  <c r="T832" i="1"/>
  <c r="U832" i="1"/>
  <c r="V832" i="1"/>
  <c r="W832" i="1"/>
  <c r="Y832" i="1"/>
  <c r="Z832" i="1"/>
  <c r="AA832" i="1"/>
  <c r="O833" i="1"/>
  <c r="P833" i="1"/>
  <c r="Q833" i="1"/>
  <c r="R833" i="1"/>
  <c r="S833" i="1"/>
  <c r="T833" i="1"/>
  <c r="U833" i="1"/>
  <c r="V833" i="1"/>
  <c r="W833" i="1"/>
  <c r="Y833" i="1"/>
  <c r="Z833" i="1"/>
  <c r="AA833" i="1"/>
  <c r="N833" i="1"/>
  <c r="N832" i="1"/>
  <c r="U831" i="1"/>
  <c r="V831" i="1"/>
  <c r="W831" i="1"/>
  <c r="Y831" i="1"/>
  <c r="Z831" i="1"/>
  <c r="AA831" i="1"/>
  <c r="AB831" i="1"/>
  <c r="O826" i="1"/>
  <c r="O827" i="1"/>
  <c r="N827" i="1"/>
  <c r="N826" i="1"/>
  <c r="M828" i="1"/>
  <c r="K827" i="1"/>
  <c r="K826" i="1"/>
  <c r="R825" i="1"/>
  <c r="Q825" i="1"/>
  <c r="P825" i="1"/>
  <c r="N825" i="1"/>
  <c r="M825" i="1"/>
  <c r="L825" i="1"/>
  <c r="K825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R819" i="1"/>
  <c r="Q819" i="1"/>
  <c r="P819" i="1"/>
  <c r="O819" i="1"/>
  <c r="N819" i="1"/>
  <c r="M819" i="1"/>
  <c r="L819" i="1"/>
  <c r="K819" i="1"/>
  <c r="R813" i="1"/>
  <c r="Q813" i="1"/>
  <c r="P813" i="1"/>
  <c r="O813" i="1"/>
  <c r="N813" i="1"/>
  <c r="M813" i="1"/>
  <c r="L813" i="1"/>
  <c r="K813" i="1"/>
  <c r="P816" i="1"/>
  <c r="O816" i="1"/>
  <c r="N816" i="1"/>
  <c r="M816" i="1"/>
  <c r="L816" i="1"/>
  <c r="K816" i="1"/>
  <c r="O810" i="1"/>
  <c r="N810" i="1"/>
  <c r="M810" i="1"/>
  <c r="L810" i="1"/>
  <c r="K810" i="1"/>
  <c r="P807" i="1"/>
  <c r="Q807" i="1"/>
  <c r="R807" i="1"/>
  <c r="O807" i="1"/>
  <c r="N807" i="1"/>
  <c r="M807" i="1"/>
  <c r="L807" i="1"/>
  <c r="K807" i="1"/>
  <c r="U804" i="1"/>
  <c r="V804" i="1"/>
  <c r="W804" i="1"/>
  <c r="T804" i="1"/>
  <c r="S804" i="1"/>
  <c r="R804" i="1"/>
  <c r="Q804" i="1"/>
  <c r="P804" i="1"/>
  <c r="O804" i="1"/>
  <c r="N804" i="1"/>
  <c r="M804" i="1"/>
  <c r="L804" i="1"/>
  <c r="K804" i="1"/>
  <c r="Q801" i="1"/>
  <c r="R801" i="1"/>
  <c r="S801" i="1"/>
  <c r="T801" i="1"/>
  <c r="U801" i="1"/>
  <c r="P801" i="1"/>
  <c r="O801" i="1"/>
  <c r="N801" i="1"/>
  <c r="M801" i="1"/>
  <c r="L801" i="1"/>
  <c r="K801" i="1"/>
  <c r="AB798" i="1"/>
  <c r="AA798" i="1"/>
  <c r="Z798" i="1"/>
  <c r="Y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T795" i="1"/>
  <c r="U795" i="1"/>
  <c r="V795" i="1"/>
  <c r="W795" i="1"/>
  <c r="S795" i="1"/>
  <c r="R795" i="1"/>
  <c r="Q795" i="1"/>
  <c r="P795" i="1"/>
  <c r="O795" i="1"/>
  <c r="N795" i="1"/>
  <c r="M795" i="1"/>
  <c r="L795" i="1"/>
  <c r="K795" i="1"/>
  <c r="O792" i="1"/>
  <c r="N792" i="1"/>
  <c r="M792" i="1"/>
  <c r="L792" i="1"/>
  <c r="K792" i="1"/>
  <c r="S789" i="1"/>
  <c r="T789" i="1"/>
  <c r="R789" i="1"/>
  <c r="Q789" i="1"/>
  <c r="P789" i="1"/>
  <c r="O789" i="1"/>
  <c r="N789" i="1"/>
  <c r="M789" i="1"/>
  <c r="L789" i="1"/>
  <c r="K789" i="1"/>
  <c r="P786" i="1"/>
  <c r="O786" i="1"/>
  <c r="N786" i="1"/>
  <c r="M786" i="1"/>
  <c r="L786" i="1"/>
  <c r="K786" i="1"/>
  <c r="R780" i="1"/>
  <c r="Q780" i="1"/>
  <c r="P780" i="1"/>
  <c r="O780" i="1"/>
  <c r="N780" i="1"/>
  <c r="M780" i="1"/>
  <c r="L780" i="1"/>
  <c r="K780" i="1"/>
  <c r="R783" i="1"/>
  <c r="Q783" i="1"/>
  <c r="P783" i="1"/>
  <c r="O783" i="1"/>
  <c r="N783" i="1"/>
  <c r="M783" i="1"/>
  <c r="L783" i="1"/>
  <c r="K783" i="1"/>
  <c r="Q777" i="1"/>
  <c r="P777" i="1"/>
  <c r="O777" i="1"/>
  <c r="N777" i="1"/>
  <c r="M777" i="1"/>
  <c r="L777" i="1"/>
  <c r="K777" i="1"/>
  <c r="Q774" i="1"/>
  <c r="R774" i="1"/>
  <c r="P774" i="1"/>
  <c r="O774" i="1"/>
  <c r="N774" i="1"/>
  <c r="M774" i="1"/>
  <c r="L774" i="1"/>
  <c r="K774" i="1"/>
  <c r="AB835" i="1" l="1"/>
  <c r="V836" i="1"/>
  <c r="P835" i="1"/>
  <c r="W836" i="1"/>
  <c r="T835" i="1"/>
  <c r="Z835" i="1"/>
  <c r="W835" i="1"/>
  <c r="Q834" i="1"/>
  <c r="AB828" i="1"/>
  <c r="Z828" i="1"/>
  <c r="T828" i="1"/>
  <c r="V834" i="1"/>
  <c r="AA836" i="1"/>
  <c r="Y836" i="1"/>
  <c r="V828" i="1"/>
  <c r="U836" i="1"/>
  <c r="S836" i="1"/>
  <c r="P828" i="1"/>
  <c r="T834" i="1"/>
  <c r="R834" i="1"/>
  <c r="O828" i="1"/>
  <c r="Z834" i="1"/>
  <c r="Z836" i="1"/>
  <c r="T836" i="1"/>
  <c r="AA835" i="1"/>
  <c r="Y835" i="1"/>
  <c r="U835" i="1"/>
  <c r="S835" i="1"/>
  <c r="P834" i="1"/>
  <c r="AB834" i="1"/>
  <c r="R828" i="1"/>
  <c r="S828" i="1"/>
  <c r="N834" i="1"/>
  <c r="W828" i="1"/>
  <c r="Y828" i="1"/>
  <c r="O835" i="1"/>
  <c r="AB836" i="1"/>
  <c r="N835" i="1"/>
  <c r="O836" i="1"/>
  <c r="U828" i="1"/>
  <c r="AA828" i="1"/>
  <c r="Q836" i="1"/>
  <c r="Q835" i="1"/>
  <c r="R836" i="1"/>
  <c r="V835" i="1"/>
  <c r="N828" i="1"/>
  <c r="AA834" i="1"/>
  <c r="Y834" i="1"/>
  <c r="W834" i="1"/>
  <c r="U834" i="1"/>
  <c r="S834" i="1"/>
  <c r="O834" i="1"/>
  <c r="N836" i="1"/>
  <c r="P836" i="1"/>
  <c r="R835" i="1"/>
  <c r="Q828" i="1"/>
  <c r="R771" i="1"/>
  <c r="Q771" i="1"/>
  <c r="P771" i="1"/>
  <c r="O771" i="1"/>
  <c r="N771" i="1"/>
  <c r="M771" i="1"/>
  <c r="L771" i="1"/>
  <c r="K771" i="1"/>
  <c r="S768" i="1"/>
  <c r="T768" i="1"/>
  <c r="U768" i="1"/>
  <c r="V768" i="1"/>
  <c r="W768" i="1"/>
  <c r="Y768" i="1"/>
  <c r="Z768" i="1"/>
  <c r="AA768" i="1"/>
  <c r="AB768" i="1"/>
  <c r="R768" i="1"/>
  <c r="Q768" i="1"/>
  <c r="P768" i="1"/>
  <c r="O768" i="1"/>
  <c r="N768" i="1"/>
  <c r="M768" i="1"/>
  <c r="L768" i="1"/>
  <c r="K768" i="1"/>
  <c r="R765" i="1"/>
  <c r="Q765" i="1"/>
  <c r="P765" i="1"/>
  <c r="O765" i="1"/>
  <c r="N765" i="1"/>
  <c r="M765" i="1"/>
  <c r="L765" i="1"/>
  <c r="K765" i="1"/>
  <c r="R762" i="1"/>
  <c r="Q762" i="1"/>
  <c r="P762" i="1"/>
  <c r="O762" i="1"/>
  <c r="N762" i="1"/>
  <c r="M762" i="1"/>
  <c r="L762" i="1"/>
  <c r="K762" i="1"/>
  <c r="R759" i="1"/>
  <c r="Q759" i="1"/>
  <c r="P759" i="1"/>
  <c r="O759" i="1"/>
  <c r="N759" i="1"/>
  <c r="M759" i="1"/>
  <c r="L759" i="1"/>
  <c r="K759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R750" i="1"/>
  <c r="Q750" i="1"/>
  <c r="P750" i="1"/>
  <c r="O750" i="1"/>
  <c r="N750" i="1"/>
  <c r="M750" i="1"/>
  <c r="L750" i="1"/>
  <c r="K750" i="1"/>
  <c r="R753" i="1"/>
  <c r="Q753" i="1"/>
  <c r="P753" i="1"/>
  <c r="O753" i="1"/>
  <c r="N753" i="1"/>
  <c r="M753" i="1"/>
  <c r="L753" i="1"/>
  <c r="K753" i="1"/>
  <c r="U747" i="1"/>
  <c r="T747" i="1"/>
  <c r="S747" i="1"/>
  <c r="R747" i="1"/>
  <c r="Q747" i="1"/>
  <c r="P747" i="1"/>
  <c r="O747" i="1"/>
  <c r="N747" i="1"/>
  <c r="M747" i="1"/>
  <c r="L747" i="1"/>
  <c r="K747" i="1"/>
  <c r="R741" i="1"/>
  <c r="Q741" i="1"/>
  <c r="P741" i="1"/>
  <c r="O741" i="1"/>
  <c r="N741" i="1"/>
  <c r="M741" i="1"/>
  <c r="L741" i="1"/>
  <c r="K741" i="1"/>
  <c r="R744" i="1"/>
  <c r="Q744" i="1"/>
  <c r="P744" i="1"/>
  <c r="O744" i="1"/>
  <c r="N744" i="1"/>
  <c r="M744" i="1"/>
  <c r="L744" i="1"/>
  <c r="K744" i="1"/>
  <c r="R738" i="1"/>
  <c r="Q738" i="1"/>
  <c r="P738" i="1"/>
  <c r="O738" i="1"/>
  <c r="N738" i="1"/>
  <c r="M738" i="1"/>
  <c r="L738" i="1"/>
  <c r="K738" i="1"/>
  <c r="R732" i="1"/>
  <c r="Q732" i="1"/>
  <c r="P732" i="1"/>
  <c r="O732" i="1"/>
  <c r="N732" i="1"/>
  <c r="M732" i="1"/>
  <c r="L732" i="1"/>
  <c r="K732" i="1"/>
  <c r="R729" i="1"/>
  <c r="Q729" i="1"/>
  <c r="P729" i="1"/>
  <c r="O729" i="1"/>
  <c r="N729" i="1"/>
  <c r="M729" i="1"/>
  <c r="L729" i="1"/>
  <c r="K729" i="1"/>
  <c r="R735" i="1"/>
  <c r="Q735" i="1"/>
  <c r="P735" i="1"/>
  <c r="O735" i="1"/>
  <c r="N735" i="1"/>
  <c r="M735" i="1"/>
  <c r="L735" i="1"/>
  <c r="K735" i="1"/>
  <c r="S726" i="1"/>
  <c r="T726" i="1"/>
  <c r="U726" i="1"/>
  <c r="V726" i="1"/>
  <c r="W726" i="1"/>
  <c r="Y726" i="1"/>
  <c r="Z726" i="1"/>
  <c r="AA726" i="1"/>
  <c r="AB726" i="1"/>
  <c r="R723" i="1"/>
  <c r="Q723" i="1"/>
  <c r="P723" i="1"/>
  <c r="O723" i="1"/>
  <c r="N723" i="1"/>
  <c r="M723" i="1"/>
  <c r="L723" i="1"/>
  <c r="K723" i="1"/>
  <c r="R720" i="1"/>
  <c r="Q720" i="1"/>
  <c r="P720" i="1"/>
  <c r="O720" i="1"/>
  <c r="N720" i="1"/>
  <c r="M720" i="1"/>
  <c r="L720" i="1"/>
  <c r="K720" i="1"/>
  <c r="R726" i="1"/>
  <c r="Q726" i="1"/>
  <c r="P726" i="1"/>
  <c r="O726" i="1"/>
  <c r="N726" i="1"/>
  <c r="M726" i="1"/>
  <c r="L726" i="1"/>
  <c r="K726" i="1"/>
  <c r="R717" i="1"/>
  <c r="Q717" i="1"/>
  <c r="P717" i="1"/>
  <c r="O717" i="1"/>
  <c r="N717" i="1"/>
  <c r="M717" i="1"/>
  <c r="L717" i="1"/>
  <c r="K717" i="1"/>
  <c r="M714" i="1"/>
  <c r="N714" i="1"/>
  <c r="O714" i="1"/>
  <c r="P714" i="1"/>
  <c r="Q714" i="1"/>
  <c r="R714" i="1"/>
  <c r="L714" i="1"/>
  <c r="K714" i="1"/>
  <c r="S837" i="1" l="1"/>
  <c r="T837" i="1"/>
  <c r="W837" i="1"/>
  <c r="AB837" i="1"/>
  <c r="AA837" i="1"/>
  <c r="Z837" i="1"/>
  <c r="V837" i="1"/>
  <c r="O837" i="1"/>
  <c r="U837" i="1"/>
  <c r="Y837" i="1"/>
  <c r="Q837" i="1"/>
  <c r="R837" i="1"/>
  <c r="P837" i="1"/>
  <c r="N837" i="1"/>
  <c r="K833" i="1"/>
  <c r="K836" i="1" s="1"/>
  <c r="K832" i="1"/>
  <c r="K835" i="1" s="1"/>
  <c r="T831" i="1"/>
  <c r="S831" i="1"/>
  <c r="R831" i="1"/>
  <c r="Q831" i="1"/>
  <c r="P831" i="1"/>
  <c r="O831" i="1"/>
  <c r="N831" i="1"/>
  <c r="M831" i="1"/>
  <c r="L831" i="1"/>
  <c r="K831" i="1"/>
  <c r="L828" i="1" l="1"/>
  <c r="L837" i="1"/>
  <c r="L834" i="1"/>
  <c r="K828" i="1"/>
  <c r="M834" i="1"/>
  <c r="K834" i="1"/>
  <c r="P1728" i="1"/>
  <c r="P1729" i="1"/>
  <c r="P1730" i="1"/>
  <c r="P1707" i="1"/>
  <c r="P1708" i="1"/>
  <c r="P1709" i="1"/>
  <c r="O1728" i="1"/>
  <c r="O1729" i="1"/>
  <c r="O1730" i="1"/>
  <c r="O1707" i="1"/>
  <c r="O1708" i="1"/>
  <c r="O1709" i="1"/>
  <c r="N1694" i="1"/>
  <c r="N1695" i="1"/>
  <c r="N1696" i="1"/>
  <c r="M1718" i="1"/>
  <c r="M1717" i="1"/>
  <c r="M1716" i="1"/>
  <c r="M1728" i="1"/>
  <c r="M1729" i="1"/>
  <c r="M1730" i="1"/>
  <c r="M1707" i="1"/>
  <c r="M1708" i="1"/>
  <c r="M1709" i="1"/>
  <c r="M1694" i="1"/>
  <c r="M1695" i="1"/>
  <c r="M1696" i="1"/>
  <c r="L1729" i="1"/>
  <c r="L1730" i="1"/>
  <c r="L1728" i="1"/>
  <c r="L1718" i="1"/>
  <c r="L1717" i="1"/>
  <c r="L1716" i="1"/>
  <c r="L1709" i="1"/>
  <c r="L1708" i="1"/>
  <c r="L1707" i="1"/>
  <c r="L1694" i="1"/>
  <c r="L1695" i="1"/>
  <c r="L1696" i="1"/>
  <c r="L15" i="1"/>
  <c r="O1683" i="1"/>
  <c r="N1683" i="1"/>
  <c r="M1683" i="1"/>
  <c r="L1683" i="1"/>
  <c r="N1675" i="1"/>
  <c r="L1675" i="1"/>
  <c r="M1675" i="1"/>
  <c r="M1670" i="1"/>
  <c r="N1670" i="1"/>
  <c r="O1670" i="1"/>
  <c r="P1670" i="1"/>
  <c r="P1688" i="1" s="1"/>
  <c r="L1670" i="1"/>
  <c r="N1660" i="1"/>
  <c r="L1660" i="1"/>
  <c r="M1660" i="1"/>
  <c r="U1655" i="1"/>
  <c r="N1645" i="1"/>
  <c r="N1646" i="1"/>
  <c r="N1647" i="1"/>
  <c r="N1655" i="1" s="1"/>
  <c r="O1655" i="1"/>
  <c r="S1655" i="1"/>
  <c r="M1645" i="1"/>
  <c r="M1646" i="1"/>
  <c r="M1647" i="1"/>
  <c r="M1655" i="1" s="1"/>
  <c r="L1646" i="1"/>
  <c r="L1647" i="1"/>
  <c r="L1645" i="1"/>
  <c r="M631" i="1"/>
  <c r="AQ1619" i="1"/>
  <c r="AQ1620" i="1" s="1"/>
  <c r="AP1619" i="1"/>
  <c r="AP1621" i="1" s="1"/>
  <c r="AO1619" i="1"/>
  <c r="AO1620" i="1" s="1"/>
  <c r="AN1619" i="1"/>
  <c r="AN1621" i="1" s="1"/>
  <c r="AM1619" i="1"/>
  <c r="AM1620" i="1" s="1"/>
  <c r="AL1619" i="1"/>
  <c r="AL1621" i="1" s="1"/>
  <c r="AK1619" i="1"/>
  <c r="AK1620" i="1" s="1"/>
  <c r="AJ1619" i="1"/>
  <c r="AJ1621" i="1" s="1"/>
  <c r="AI1619" i="1"/>
  <c r="AI1620" i="1" s="1"/>
  <c r="AH1619" i="1"/>
  <c r="AH1621" i="1" s="1"/>
  <c r="AG1620" i="1"/>
  <c r="AF1619" i="1"/>
  <c r="AF1621" i="1" s="1"/>
  <c r="AE1619" i="1"/>
  <c r="AE1620" i="1" s="1"/>
  <c r="AD1619" i="1"/>
  <c r="AD1621" i="1" s="1"/>
  <c r="AC1619" i="1"/>
  <c r="AC1620" i="1" s="1"/>
  <c r="AB1619" i="1"/>
  <c r="AB1621" i="1" s="1"/>
  <c r="AA1619" i="1"/>
  <c r="AA1620" i="1" s="1"/>
  <c r="Z1619" i="1"/>
  <c r="Z1621" i="1" s="1"/>
  <c r="Y1619" i="1"/>
  <c r="Y1620" i="1" s="1"/>
  <c r="W1619" i="1"/>
  <c r="W1620" i="1" s="1"/>
  <c r="V1619" i="1"/>
  <c r="V1621" i="1" s="1"/>
  <c r="U1619" i="1"/>
  <c r="U1620" i="1" s="1"/>
  <c r="T1619" i="1"/>
  <c r="T1621" i="1" s="1"/>
  <c r="S1619" i="1"/>
  <c r="S1620" i="1" s="1"/>
  <c r="R1619" i="1"/>
  <c r="R1621" i="1" s="1"/>
  <c r="Q1619" i="1"/>
  <c r="Q1620" i="1" s="1"/>
  <c r="P1619" i="1"/>
  <c r="P1621" i="1" s="1"/>
  <c r="O1619" i="1"/>
  <c r="O1620" i="1" s="1"/>
  <c r="N1619" i="1"/>
  <c r="N1621" i="1" s="1"/>
  <c r="M1619" i="1"/>
  <c r="L1619" i="1"/>
  <c r="K1619" i="1"/>
  <c r="AE1656" i="1" l="1"/>
  <c r="M1621" i="1"/>
  <c r="M1620" i="1"/>
  <c r="O1648" i="1"/>
  <c r="O1651" i="1" s="1"/>
  <c r="T1688" i="1"/>
  <c r="K837" i="1"/>
  <c r="AD1736" i="1"/>
  <c r="N1697" i="1"/>
  <c r="N1735" i="1" s="1"/>
  <c r="L1731" i="1"/>
  <c r="M1697" i="1"/>
  <c r="M1731" i="1"/>
  <c r="M1719" i="1"/>
  <c r="O1697" i="1"/>
  <c r="O1710" i="1"/>
  <c r="O1731" i="1"/>
  <c r="P1710" i="1"/>
  <c r="P1719" i="1"/>
  <c r="AP1656" i="1"/>
  <c r="M1688" i="1"/>
  <c r="M1710" i="1"/>
  <c r="O1719" i="1"/>
  <c r="P1731" i="1"/>
  <c r="AF1736" i="1"/>
  <c r="L1719" i="1"/>
  <c r="L1710" i="1"/>
  <c r="N1648" i="1"/>
  <c r="N1651" i="1" s="1"/>
  <c r="AQ1656" i="1"/>
  <c r="AO1656" i="1"/>
  <c r="AK1656" i="1"/>
  <c r="AI1656" i="1"/>
  <c r="L1688" i="1"/>
  <c r="O1688" i="1"/>
  <c r="AF1689" i="1"/>
  <c r="AH1689" i="1"/>
  <c r="L1697" i="1"/>
  <c r="AN1656" i="1"/>
  <c r="AM1689" i="1"/>
  <c r="AI1689" i="1"/>
  <c r="AL1689" i="1"/>
  <c r="AJ1689" i="1"/>
  <c r="S1688" i="1"/>
  <c r="AG1689" i="1"/>
  <c r="AE1689" i="1"/>
  <c r="R1688" i="1"/>
  <c r="N1688" i="1"/>
  <c r="AF1656" i="1"/>
  <c r="AH1656" i="1"/>
  <c r="L1648" i="1"/>
  <c r="L1655" i="1"/>
  <c r="W1655" i="1"/>
  <c r="AG1656" i="1"/>
  <c r="T1655" i="1"/>
  <c r="M1648" i="1"/>
  <c r="N1620" i="1"/>
  <c r="R1620" i="1"/>
  <c r="V1620" i="1"/>
  <c r="Z1620" i="1"/>
  <c r="AD1620" i="1"/>
  <c r="AH1620" i="1"/>
  <c r="AL1620" i="1"/>
  <c r="AP1620" i="1"/>
  <c r="P1620" i="1"/>
  <c r="T1620" i="1"/>
  <c r="AB1620" i="1"/>
  <c r="AF1620" i="1"/>
  <c r="AJ1620" i="1"/>
  <c r="AN1620" i="1"/>
  <c r="O1621" i="1"/>
  <c r="Q1621" i="1"/>
  <c r="S1621" i="1"/>
  <c r="U1621" i="1"/>
  <c r="W1621" i="1"/>
  <c r="Y1621" i="1"/>
  <c r="AA1621" i="1"/>
  <c r="AC1621" i="1"/>
  <c r="AE1621" i="1"/>
  <c r="AG1621" i="1"/>
  <c r="AI1621" i="1"/>
  <c r="AK1621" i="1"/>
  <c r="AM1621" i="1"/>
  <c r="AO1621" i="1"/>
  <c r="AQ1621" i="1"/>
  <c r="P1735" i="1" l="1"/>
  <c r="W1735" i="1"/>
  <c r="T1735" i="1"/>
  <c r="V1735" i="1"/>
  <c r="S1735" i="1"/>
  <c r="O1735" i="1"/>
  <c r="M1735" i="1"/>
  <c r="L1735" i="1"/>
  <c r="N1626" i="1"/>
  <c r="O1626" i="1"/>
  <c r="O1627" i="1" s="1"/>
  <c r="P1626" i="1"/>
  <c r="P1627" i="1" s="1"/>
  <c r="Q1626" i="1"/>
  <c r="R1626" i="1"/>
  <c r="U1626" i="1"/>
  <c r="AA1626" i="1"/>
  <c r="AE1626" i="1"/>
  <c r="AG1626" i="1"/>
  <c r="L1626" i="1"/>
  <c r="K1626" i="1"/>
  <c r="K1614" i="1"/>
  <c r="M1614" i="1"/>
  <c r="AE1604" i="1"/>
  <c r="AD1604" i="1"/>
  <c r="AC1604" i="1"/>
  <c r="AB1604" i="1"/>
  <c r="AA1604" i="1"/>
  <c r="Z1604" i="1"/>
  <c r="Y1604" i="1"/>
  <c r="W1604" i="1"/>
  <c r="V1604" i="1"/>
  <c r="T1604" i="1"/>
  <c r="R1604" i="1"/>
  <c r="Q1604" i="1"/>
  <c r="N1604" i="1"/>
  <c r="M1604" i="1"/>
  <c r="L1604" i="1"/>
  <c r="K1604" i="1"/>
  <c r="T1614" i="1"/>
  <c r="S1614" i="1"/>
  <c r="R1614" i="1"/>
  <c r="Q1614" i="1"/>
  <c r="P1614" i="1"/>
  <c r="O1614" i="1"/>
  <c r="N1614" i="1"/>
  <c r="L1614" i="1"/>
  <c r="AE1599" i="1"/>
  <c r="AD1599" i="1"/>
  <c r="AC1599" i="1"/>
  <c r="AB1599" i="1"/>
  <c r="AA1599" i="1"/>
  <c r="Z1599" i="1"/>
  <c r="Y1599" i="1"/>
  <c r="W1599" i="1"/>
  <c r="V1599" i="1"/>
  <c r="U1599" i="1"/>
  <c r="T1599" i="1"/>
  <c r="S1599" i="1"/>
  <c r="R1599" i="1"/>
  <c r="Q1599" i="1"/>
  <c r="P1599" i="1"/>
  <c r="O1599" i="1"/>
  <c r="N1599" i="1"/>
  <c r="M1599" i="1"/>
  <c r="L1599" i="1"/>
  <c r="K1599" i="1"/>
  <c r="AE1589" i="1"/>
  <c r="AD1589" i="1"/>
  <c r="AC1589" i="1"/>
  <c r="AB1589" i="1"/>
  <c r="AA1589" i="1"/>
  <c r="W1589" i="1"/>
  <c r="V1589" i="1"/>
  <c r="U1589" i="1"/>
  <c r="T1589" i="1"/>
  <c r="S1589" i="1"/>
  <c r="R1589" i="1"/>
  <c r="Q1589" i="1"/>
  <c r="P1589" i="1"/>
  <c r="O1589" i="1"/>
  <c r="N1589" i="1"/>
  <c r="M1589" i="1"/>
  <c r="L1589" i="1"/>
  <c r="K1589" i="1"/>
  <c r="N1594" i="1"/>
  <c r="O1594" i="1"/>
  <c r="P1594" i="1"/>
  <c r="Q1594" i="1"/>
  <c r="R1594" i="1"/>
  <c r="S1594" i="1"/>
  <c r="T1594" i="1"/>
  <c r="U1594" i="1"/>
  <c r="V1594" i="1"/>
  <c r="W1594" i="1"/>
  <c r="Y1594" i="1"/>
  <c r="Z1594" i="1"/>
  <c r="M1594" i="1"/>
  <c r="Z1584" i="1"/>
  <c r="Y1584" i="1"/>
  <c r="W1584" i="1"/>
  <c r="V1584" i="1"/>
  <c r="U1584" i="1"/>
  <c r="T1584" i="1"/>
  <c r="S1584" i="1"/>
  <c r="R1584" i="1"/>
  <c r="Q1584" i="1"/>
  <c r="P1584" i="1"/>
  <c r="O1584" i="1"/>
  <c r="N1584" i="1"/>
  <c r="M1584" i="1"/>
  <c r="L1584" i="1"/>
  <c r="K1584" i="1"/>
  <c r="L1594" i="1"/>
  <c r="K1594" i="1"/>
  <c r="AA1579" i="1"/>
  <c r="AB1579" i="1"/>
  <c r="Z1579" i="1"/>
  <c r="Y1579" i="1"/>
  <c r="W1579" i="1"/>
  <c r="V1579" i="1"/>
  <c r="U1579" i="1"/>
  <c r="T1579" i="1"/>
  <c r="S1579" i="1"/>
  <c r="Q1579" i="1"/>
  <c r="P1579" i="1"/>
  <c r="O1579" i="1"/>
  <c r="N1579" i="1"/>
  <c r="M1579" i="1"/>
  <c r="L1579" i="1"/>
  <c r="K1579" i="1"/>
  <c r="AA1574" i="1"/>
  <c r="Z1574" i="1"/>
  <c r="Y1574" i="1"/>
  <c r="W1574" i="1"/>
  <c r="V1574" i="1"/>
  <c r="U1574" i="1"/>
  <c r="T1574" i="1"/>
  <c r="S1574" i="1"/>
  <c r="R1574" i="1"/>
  <c r="Q1574" i="1"/>
  <c r="P1574" i="1"/>
  <c r="O1574" i="1"/>
  <c r="N1574" i="1"/>
  <c r="M1574" i="1"/>
  <c r="L1574" i="1"/>
  <c r="K1574" i="1"/>
  <c r="Z1569" i="1"/>
  <c r="Y1569" i="1"/>
  <c r="W1569" i="1"/>
  <c r="V1569" i="1"/>
  <c r="U1569" i="1"/>
  <c r="T1569" i="1"/>
  <c r="S1569" i="1"/>
  <c r="R1569" i="1"/>
  <c r="Q1569" i="1"/>
  <c r="P1569" i="1"/>
  <c r="O1569" i="1"/>
  <c r="N1569" i="1"/>
  <c r="M1569" i="1"/>
  <c r="L1569" i="1"/>
  <c r="K1569" i="1"/>
  <c r="Y1564" i="1"/>
  <c r="W1564" i="1"/>
  <c r="V1564" i="1"/>
  <c r="U1564" i="1"/>
  <c r="T1564" i="1"/>
  <c r="S1564" i="1"/>
  <c r="R1564" i="1"/>
  <c r="Q1564" i="1"/>
  <c r="P1564" i="1"/>
  <c r="O1564" i="1"/>
  <c r="N1564" i="1"/>
  <c r="M1564" i="1"/>
  <c r="L1564" i="1"/>
  <c r="K1564" i="1"/>
  <c r="Y1559" i="1"/>
  <c r="W1559" i="1"/>
  <c r="V1559" i="1"/>
  <c r="U1559" i="1"/>
  <c r="T1559" i="1"/>
  <c r="S1559" i="1"/>
  <c r="R1559" i="1"/>
  <c r="Q1559" i="1"/>
  <c r="P1559" i="1"/>
  <c r="O1559" i="1"/>
  <c r="N1559" i="1"/>
  <c r="M1559" i="1"/>
  <c r="L1559" i="1"/>
  <c r="K1559" i="1"/>
  <c r="W1554" i="1"/>
  <c r="V1554" i="1"/>
  <c r="U1554" i="1"/>
  <c r="T1554" i="1"/>
  <c r="S1554" i="1"/>
  <c r="R1554" i="1"/>
  <c r="Q1554" i="1"/>
  <c r="P1554" i="1"/>
  <c r="O1554" i="1"/>
  <c r="N1554" i="1"/>
  <c r="M1554" i="1"/>
  <c r="L1554" i="1"/>
  <c r="K1554" i="1"/>
  <c r="T1549" i="1"/>
  <c r="S1549" i="1"/>
  <c r="R1549" i="1"/>
  <c r="Q1549" i="1"/>
  <c r="P1549" i="1"/>
  <c r="O1549" i="1"/>
  <c r="N1549" i="1"/>
  <c r="M1549" i="1"/>
  <c r="L1549" i="1"/>
  <c r="K1549" i="1"/>
  <c r="L1544" i="1"/>
  <c r="W1544" i="1"/>
  <c r="V1544" i="1"/>
  <c r="U1544" i="1"/>
  <c r="T1544" i="1"/>
  <c r="S1544" i="1"/>
  <c r="R1544" i="1"/>
  <c r="Q1544" i="1"/>
  <c r="P1544" i="1"/>
  <c r="O1544" i="1"/>
  <c r="N1544" i="1"/>
  <c r="M1544" i="1"/>
  <c r="K1544" i="1"/>
  <c r="U1534" i="1"/>
  <c r="T1534" i="1"/>
  <c r="S1534" i="1"/>
  <c r="R1534" i="1"/>
  <c r="Q1534" i="1"/>
  <c r="P1534" i="1"/>
  <c r="O1534" i="1"/>
  <c r="N1534" i="1"/>
  <c r="M1534" i="1"/>
  <c r="L1534" i="1"/>
  <c r="K1534" i="1"/>
  <c r="U1539" i="1"/>
  <c r="T1539" i="1"/>
  <c r="S1539" i="1"/>
  <c r="R1539" i="1"/>
  <c r="Q1539" i="1"/>
  <c r="P1539" i="1"/>
  <c r="O1539" i="1"/>
  <c r="N1539" i="1"/>
  <c r="M1539" i="1"/>
  <c r="L1539" i="1"/>
  <c r="K1539" i="1"/>
  <c r="U1529" i="1"/>
  <c r="S1529" i="1"/>
  <c r="R1529" i="1"/>
  <c r="Q1529" i="1"/>
  <c r="P1529" i="1"/>
  <c r="O1529" i="1"/>
  <c r="N1529" i="1"/>
  <c r="M1529" i="1"/>
  <c r="L1529" i="1"/>
  <c r="K1529" i="1"/>
  <c r="T1524" i="1"/>
  <c r="S1524" i="1"/>
  <c r="R1524" i="1"/>
  <c r="Q1524" i="1"/>
  <c r="P1524" i="1"/>
  <c r="O1524" i="1"/>
  <c r="N1524" i="1"/>
  <c r="M1524" i="1"/>
  <c r="L1524" i="1"/>
  <c r="K1524" i="1"/>
  <c r="N1519" i="1"/>
  <c r="O1519" i="1"/>
  <c r="P1519" i="1"/>
  <c r="Q1519" i="1"/>
  <c r="R1519" i="1"/>
  <c r="S1519" i="1"/>
  <c r="T1519" i="1"/>
  <c r="M1519" i="1"/>
  <c r="L1519" i="1"/>
  <c r="K1519" i="1"/>
  <c r="R1627" i="1" l="1"/>
  <c r="R1628" i="1"/>
  <c r="Q1627" i="1"/>
  <c r="Q1628" i="1"/>
  <c r="O1628" i="1"/>
  <c r="AG1627" i="1"/>
  <c r="AG1628" i="1"/>
  <c r="AF1627" i="1"/>
  <c r="AF1628" i="1"/>
  <c r="AE1627" i="1"/>
  <c r="AE1628" i="1"/>
  <c r="AD1627" i="1"/>
  <c r="AD1628" i="1"/>
  <c r="AC1627" i="1"/>
  <c r="AC1628" i="1"/>
  <c r="AB1627" i="1"/>
  <c r="AB1628" i="1"/>
  <c r="AA1627" i="1"/>
  <c r="AA1628" i="1"/>
  <c r="Z1628" i="1"/>
  <c r="Z1627" i="1"/>
  <c r="Y1627" i="1"/>
  <c r="Y1628" i="1"/>
  <c r="W1627" i="1"/>
  <c r="W1628" i="1"/>
  <c r="V1627" i="1"/>
  <c r="V1628" i="1"/>
  <c r="U1627" i="1"/>
  <c r="U1628" i="1"/>
  <c r="T1627" i="1"/>
  <c r="T1628" i="1"/>
  <c r="S1627" i="1"/>
  <c r="S1628" i="1"/>
  <c r="P1628" i="1"/>
  <c r="K447" i="1"/>
  <c r="K70" i="1"/>
  <c r="L23" i="1"/>
  <c r="V706" i="1"/>
  <c r="V709" i="1" s="1"/>
  <c r="V705" i="1"/>
  <c r="V708" i="1" s="1"/>
  <c r="T705" i="1"/>
  <c r="T708" i="1" s="1"/>
  <c r="U705" i="1"/>
  <c r="U708" i="1" s="1"/>
  <c r="T706" i="1"/>
  <c r="T709" i="1" s="1"/>
  <c r="U706" i="1"/>
  <c r="U709" i="1" s="1"/>
  <c r="S706" i="1"/>
  <c r="S709" i="1" s="1"/>
  <c r="S705" i="1"/>
  <c r="S708" i="1" s="1"/>
  <c r="R706" i="1"/>
  <c r="R709" i="1" s="1"/>
  <c r="R705" i="1"/>
  <c r="R708" i="1" s="1"/>
  <c r="Q706" i="1"/>
  <c r="Q709" i="1" s="1"/>
  <c r="Q705" i="1"/>
  <c r="Q708" i="1" s="1"/>
  <c r="P706" i="1"/>
  <c r="P709" i="1" s="1"/>
  <c r="P705" i="1"/>
  <c r="P708" i="1" s="1"/>
  <c r="O706" i="1"/>
  <c r="O709" i="1" s="1"/>
  <c r="O705" i="1"/>
  <c r="O708" i="1" s="1"/>
  <c r="N706" i="1"/>
  <c r="N709" i="1" s="1"/>
  <c r="N705" i="1"/>
  <c r="N708" i="1" s="1"/>
  <c r="M706" i="1"/>
  <c r="M709" i="1" s="1"/>
  <c r="M705" i="1"/>
  <c r="M708" i="1" s="1"/>
  <c r="L706" i="1"/>
  <c r="L709" i="1" s="1"/>
  <c r="L705" i="1"/>
  <c r="L708" i="1" s="1"/>
  <c r="K706" i="1"/>
  <c r="K709" i="1" s="1"/>
  <c r="K705" i="1"/>
  <c r="K708" i="1" s="1"/>
  <c r="V704" i="1"/>
  <c r="U704" i="1"/>
  <c r="T704" i="1"/>
  <c r="S704" i="1"/>
  <c r="R704" i="1"/>
  <c r="Q704" i="1"/>
  <c r="P704" i="1"/>
  <c r="O704" i="1"/>
  <c r="N704" i="1"/>
  <c r="M704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V698" i="1"/>
  <c r="U698" i="1"/>
  <c r="T698" i="1"/>
  <c r="S698" i="1"/>
  <c r="R698" i="1"/>
  <c r="Q698" i="1"/>
  <c r="P698" i="1"/>
  <c r="Q695" i="1" l="1"/>
  <c r="Q692" i="1"/>
  <c r="Q689" i="1"/>
  <c r="P683" i="1"/>
  <c r="Q683" i="1"/>
  <c r="O680" i="1"/>
  <c r="P680" i="1"/>
  <c r="Q680" i="1"/>
  <c r="R680" i="1"/>
  <c r="M677" i="1"/>
  <c r="W706" i="1"/>
  <c r="W705" i="1"/>
  <c r="L704" i="1"/>
  <c r="K704" i="1"/>
  <c r="O698" i="1"/>
  <c r="N698" i="1"/>
  <c r="M698" i="1"/>
  <c r="L698" i="1"/>
  <c r="K698" i="1"/>
  <c r="V677" i="1"/>
  <c r="U677" i="1"/>
  <c r="T677" i="1"/>
  <c r="S677" i="1"/>
  <c r="R677" i="1"/>
  <c r="Q677" i="1"/>
  <c r="P677" i="1"/>
  <c r="N677" i="1"/>
  <c r="L677" i="1"/>
  <c r="K677" i="1"/>
  <c r="P695" i="1"/>
  <c r="O695" i="1"/>
  <c r="N695" i="1"/>
  <c r="M695" i="1"/>
  <c r="L695" i="1"/>
  <c r="K695" i="1"/>
  <c r="P692" i="1"/>
  <c r="O692" i="1"/>
  <c r="N692" i="1"/>
  <c r="M692" i="1"/>
  <c r="L692" i="1"/>
  <c r="K692" i="1"/>
  <c r="P689" i="1"/>
  <c r="O689" i="1"/>
  <c r="N689" i="1"/>
  <c r="M689" i="1"/>
  <c r="L689" i="1"/>
  <c r="K689" i="1"/>
  <c r="O686" i="1"/>
  <c r="N686" i="1"/>
  <c r="M686" i="1"/>
  <c r="L686" i="1"/>
  <c r="K686" i="1"/>
  <c r="O683" i="1"/>
  <c r="N683" i="1"/>
  <c r="M683" i="1"/>
  <c r="L683" i="1"/>
  <c r="K683" i="1"/>
  <c r="N680" i="1"/>
  <c r="M680" i="1"/>
  <c r="L680" i="1"/>
  <c r="K680" i="1"/>
  <c r="W668" i="1"/>
  <c r="Y668" i="1"/>
  <c r="Z668" i="1"/>
  <c r="W669" i="1"/>
  <c r="Y669" i="1"/>
  <c r="Z669" i="1"/>
  <c r="V669" i="1"/>
  <c r="V668" i="1"/>
  <c r="U669" i="1"/>
  <c r="U668" i="1"/>
  <c r="T669" i="1"/>
  <c r="T668" i="1"/>
  <c r="N668" i="1"/>
  <c r="O668" i="1"/>
  <c r="P668" i="1"/>
  <c r="Q668" i="1"/>
  <c r="R668" i="1"/>
  <c r="S668" i="1"/>
  <c r="N669" i="1"/>
  <c r="O669" i="1"/>
  <c r="P669" i="1"/>
  <c r="Q669" i="1"/>
  <c r="R669" i="1"/>
  <c r="S669" i="1"/>
  <c r="M669" i="1"/>
  <c r="M668" i="1"/>
  <c r="L669" i="1"/>
  <c r="L668" i="1"/>
  <c r="K669" i="1"/>
  <c r="K668" i="1"/>
  <c r="S661" i="1"/>
  <c r="Z655" i="1"/>
  <c r="Y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N650" i="1"/>
  <c r="O650" i="1"/>
  <c r="P650" i="1"/>
  <c r="Q650" i="1"/>
  <c r="R650" i="1"/>
  <c r="S650" i="1"/>
  <c r="T650" i="1"/>
  <c r="U650" i="1"/>
  <c r="V650" i="1"/>
  <c r="W650" i="1"/>
  <c r="Y650" i="1"/>
  <c r="Z650" i="1"/>
  <c r="N651" i="1"/>
  <c r="O651" i="1"/>
  <c r="P651" i="1"/>
  <c r="Q651" i="1"/>
  <c r="R651" i="1"/>
  <c r="S651" i="1"/>
  <c r="T651" i="1"/>
  <c r="U651" i="1"/>
  <c r="V651" i="1"/>
  <c r="W651" i="1"/>
  <c r="Y651" i="1"/>
  <c r="Z651" i="1"/>
  <c r="M651" i="1"/>
  <c r="M650" i="1"/>
  <c r="L651" i="1"/>
  <c r="L650" i="1"/>
  <c r="K651" i="1"/>
  <c r="K650" i="1"/>
  <c r="Z649" i="1"/>
  <c r="Y649" i="1"/>
  <c r="W649" i="1"/>
  <c r="U649" i="1"/>
  <c r="T649" i="1"/>
  <c r="S649" i="1"/>
  <c r="R649" i="1"/>
  <c r="Q649" i="1"/>
  <c r="P649" i="1"/>
  <c r="O649" i="1"/>
  <c r="N649" i="1"/>
  <c r="M649" i="1"/>
  <c r="L649" i="1"/>
  <c r="K649" i="1"/>
  <c r="Z646" i="1"/>
  <c r="Y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Z640" i="1"/>
  <c r="Y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Z637" i="1"/>
  <c r="Y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V632" i="1"/>
  <c r="W632" i="1"/>
  <c r="Y632" i="1"/>
  <c r="Z632" i="1"/>
  <c r="V633" i="1"/>
  <c r="W633" i="1"/>
  <c r="Y633" i="1"/>
  <c r="Z633" i="1"/>
  <c r="U633" i="1"/>
  <c r="U632" i="1"/>
  <c r="R632" i="1"/>
  <c r="S632" i="1"/>
  <c r="T632" i="1"/>
  <c r="R633" i="1"/>
  <c r="S633" i="1"/>
  <c r="T633" i="1"/>
  <c r="Q633" i="1"/>
  <c r="Q632" i="1"/>
  <c r="P633" i="1"/>
  <c r="P632" i="1"/>
  <c r="N632" i="1"/>
  <c r="M632" i="1"/>
  <c r="O632" i="1"/>
  <c r="M633" i="1"/>
  <c r="N633" i="1"/>
  <c r="O633" i="1"/>
  <c r="L633" i="1"/>
  <c r="L632" i="1"/>
  <c r="K633" i="1"/>
  <c r="K632" i="1"/>
  <c r="P598" i="1"/>
  <c r="O598" i="1"/>
  <c r="N598" i="1"/>
  <c r="M598" i="1"/>
  <c r="L598" i="1"/>
  <c r="K598" i="1"/>
  <c r="P631" i="1"/>
  <c r="O631" i="1"/>
  <c r="N631" i="1"/>
  <c r="L631" i="1"/>
  <c r="P628" i="1"/>
  <c r="O628" i="1"/>
  <c r="N628" i="1"/>
  <c r="M628" i="1"/>
  <c r="L628" i="1"/>
  <c r="P625" i="1"/>
  <c r="O625" i="1"/>
  <c r="N625" i="1"/>
  <c r="M625" i="1"/>
  <c r="L625" i="1"/>
  <c r="O616" i="1"/>
  <c r="N616" i="1"/>
  <c r="M616" i="1"/>
  <c r="L616" i="1"/>
  <c r="M613" i="1"/>
  <c r="N613" i="1"/>
  <c r="O613" i="1"/>
  <c r="P613" i="1"/>
  <c r="O607" i="1"/>
  <c r="N607" i="1"/>
  <c r="M607" i="1"/>
  <c r="L607" i="1"/>
  <c r="K607" i="1"/>
  <c r="P604" i="1"/>
  <c r="O604" i="1"/>
  <c r="N604" i="1"/>
  <c r="M604" i="1"/>
  <c r="L604" i="1"/>
  <c r="P601" i="1"/>
  <c r="O601" i="1"/>
  <c r="N601" i="1"/>
  <c r="M601" i="1"/>
  <c r="L601" i="1"/>
  <c r="P595" i="1"/>
  <c r="Q595" i="1"/>
  <c r="R595" i="1"/>
  <c r="S595" i="1"/>
  <c r="T595" i="1"/>
  <c r="M595" i="1"/>
  <c r="N595" i="1"/>
  <c r="O595" i="1"/>
  <c r="N592" i="1"/>
  <c r="O592" i="1"/>
  <c r="N589" i="1"/>
  <c r="O589" i="1"/>
  <c r="P589" i="1"/>
  <c r="Q589" i="1"/>
  <c r="R589" i="1"/>
  <c r="S589" i="1"/>
  <c r="T589" i="1"/>
  <c r="U589" i="1"/>
  <c r="W589" i="1"/>
  <c r="Y589" i="1"/>
  <c r="Z589" i="1"/>
  <c r="P586" i="1"/>
  <c r="O586" i="1"/>
  <c r="N586" i="1"/>
  <c r="M586" i="1"/>
  <c r="L586" i="1"/>
  <c r="K586" i="1"/>
  <c r="O577" i="1"/>
  <c r="N574" i="1"/>
  <c r="O574" i="1"/>
  <c r="N571" i="1"/>
  <c r="O571" i="1"/>
  <c r="Z658" i="1"/>
  <c r="Y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U667" i="1"/>
  <c r="T667" i="1"/>
  <c r="S667" i="1"/>
  <c r="R667" i="1"/>
  <c r="Q667" i="1"/>
  <c r="P667" i="1"/>
  <c r="O667" i="1"/>
  <c r="N667" i="1"/>
  <c r="M667" i="1"/>
  <c r="L667" i="1"/>
  <c r="K667" i="1"/>
  <c r="T664" i="1"/>
  <c r="S664" i="1"/>
  <c r="R664" i="1"/>
  <c r="Q664" i="1"/>
  <c r="P664" i="1"/>
  <c r="O664" i="1"/>
  <c r="N664" i="1"/>
  <c r="M664" i="1"/>
  <c r="L664" i="1"/>
  <c r="K664" i="1"/>
  <c r="R661" i="1"/>
  <c r="Q661" i="1"/>
  <c r="P661" i="1"/>
  <c r="O661" i="1"/>
  <c r="N661" i="1"/>
  <c r="M661" i="1"/>
  <c r="L661" i="1"/>
  <c r="K661" i="1"/>
  <c r="Z643" i="1"/>
  <c r="Y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K637" i="1"/>
  <c r="K631" i="1"/>
  <c r="K628" i="1"/>
  <c r="O610" i="1"/>
  <c r="N610" i="1"/>
  <c r="M610" i="1"/>
  <c r="L610" i="1"/>
  <c r="K610" i="1"/>
  <c r="K625" i="1"/>
  <c r="P622" i="1"/>
  <c r="O622" i="1"/>
  <c r="N622" i="1"/>
  <c r="M622" i="1"/>
  <c r="L622" i="1"/>
  <c r="K622" i="1"/>
  <c r="O619" i="1"/>
  <c r="N619" i="1"/>
  <c r="M619" i="1"/>
  <c r="L619" i="1"/>
  <c r="K619" i="1"/>
  <c r="K616" i="1"/>
  <c r="L613" i="1"/>
  <c r="K613" i="1"/>
  <c r="K604" i="1"/>
  <c r="K601" i="1"/>
  <c r="L595" i="1"/>
  <c r="K595" i="1"/>
  <c r="P580" i="1"/>
  <c r="O580" i="1"/>
  <c r="N580" i="1"/>
  <c r="M580" i="1"/>
  <c r="L580" i="1"/>
  <c r="K580" i="1"/>
  <c r="M592" i="1"/>
  <c r="L592" i="1"/>
  <c r="K592" i="1"/>
  <c r="M589" i="1"/>
  <c r="L589" i="1"/>
  <c r="K589" i="1"/>
  <c r="P583" i="1"/>
  <c r="O583" i="1"/>
  <c r="N583" i="1"/>
  <c r="M583" i="1"/>
  <c r="L583" i="1"/>
  <c r="K583" i="1"/>
  <c r="N577" i="1"/>
  <c r="M577" i="1"/>
  <c r="L577" i="1"/>
  <c r="K577" i="1"/>
  <c r="M574" i="1"/>
  <c r="L574" i="1"/>
  <c r="K574" i="1"/>
  <c r="M571" i="1"/>
  <c r="L571" i="1"/>
  <c r="K571" i="1"/>
  <c r="Z562" i="1"/>
  <c r="AA562" i="1"/>
  <c r="AB562" i="1"/>
  <c r="AC562" i="1"/>
  <c r="Z563" i="1"/>
  <c r="AA563" i="1"/>
  <c r="AB563" i="1"/>
  <c r="AC563" i="1"/>
  <c r="Y563" i="1"/>
  <c r="Y562" i="1"/>
  <c r="T562" i="1"/>
  <c r="U562" i="1"/>
  <c r="V562" i="1"/>
  <c r="W562" i="1"/>
  <c r="T563" i="1"/>
  <c r="U563" i="1"/>
  <c r="V563" i="1"/>
  <c r="W563" i="1"/>
  <c r="S563" i="1"/>
  <c r="S562" i="1"/>
  <c r="M562" i="1"/>
  <c r="N562" i="1"/>
  <c r="O562" i="1"/>
  <c r="P562" i="1"/>
  <c r="Q562" i="1"/>
  <c r="R562" i="1"/>
  <c r="M563" i="1"/>
  <c r="N563" i="1"/>
  <c r="O563" i="1"/>
  <c r="P563" i="1"/>
  <c r="Q563" i="1"/>
  <c r="R563" i="1"/>
  <c r="L563" i="1"/>
  <c r="L562" i="1"/>
  <c r="K563" i="1"/>
  <c r="K562" i="1"/>
  <c r="AB561" i="1"/>
  <c r="AC561" i="1"/>
  <c r="AB558" i="1"/>
  <c r="AC558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R552" i="1"/>
  <c r="Q552" i="1"/>
  <c r="P552" i="1"/>
  <c r="O552" i="1"/>
  <c r="N552" i="1"/>
  <c r="M552" i="1"/>
  <c r="L552" i="1"/>
  <c r="K552" i="1"/>
  <c r="AA558" i="1"/>
  <c r="Z558" i="1"/>
  <c r="Y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Y547" i="1"/>
  <c r="Z547" i="1"/>
  <c r="AA547" i="1"/>
  <c r="AB547" i="1"/>
  <c r="Y548" i="1"/>
  <c r="Z548" i="1"/>
  <c r="AA548" i="1"/>
  <c r="AB548" i="1"/>
  <c r="W548" i="1"/>
  <c r="W547" i="1"/>
  <c r="O547" i="1"/>
  <c r="P547" i="1"/>
  <c r="Q547" i="1"/>
  <c r="R547" i="1"/>
  <c r="S547" i="1"/>
  <c r="T547" i="1"/>
  <c r="U547" i="1"/>
  <c r="V547" i="1"/>
  <c r="O548" i="1"/>
  <c r="P548" i="1"/>
  <c r="Q548" i="1"/>
  <c r="R548" i="1"/>
  <c r="S548" i="1"/>
  <c r="T548" i="1"/>
  <c r="U548" i="1"/>
  <c r="V548" i="1"/>
  <c r="N548" i="1"/>
  <c r="N547" i="1"/>
  <c r="M548" i="1"/>
  <c r="M547" i="1"/>
  <c r="L548" i="1"/>
  <c r="L547" i="1"/>
  <c r="K548" i="1"/>
  <c r="K547" i="1"/>
  <c r="AB543" i="1"/>
  <c r="AA543" i="1"/>
  <c r="Z543" i="1"/>
  <c r="Y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M546" i="1"/>
  <c r="N546" i="1"/>
  <c r="O546" i="1"/>
  <c r="P546" i="1"/>
  <c r="Q546" i="1"/>
  <c r="R546" i="1"/>
  <c r="S546" i="1"/>
  <c r="T546" i="1"/>
  <c r="U546" i="1"/>
  <c r="V546" i="1"/>
  <c r="W546" i="1"/>
  <c r="Y546" i="1"/>
  <c r="Z546" i="1"/>
  <c r="AA546" i="1"/>
  <c r="AB546" i="1"/>
  <c r="R540" i="1"/>
  <c r="S540" i="1"/>
  <c r="T540" i="1"/>
  <c r="U540" i="1"/>
  <c r="V540" i="1"/>
  <c r="W540" i="1"/>
  <c r="M537" i="1"/>
  <c r="N537" i="1"/>
  <c r="O537" i="1"/>
  <c r="P537" i="1"/>
  <c r="Q537" i="1"/>
  <c r="R537" i="1"/>
  <c r="S537" i="1"/>
  <c r="T537" i="1"/>
  <c r="U537" i="1"/>
  <c r="V537" i="1"/>
  <c r="W537" i="1"/>
  <c r="Y537" i="1"/>
  <c r="Z537" i="1"/>
  <c r="AA537" i="1"/>
  <c r="AB537" i="1"/>
  <c r="AC537" i="1"/>
  <c r="O534" i="1"/>
  <c r="P534" i="1"/>
  <c r="Q534" i="1"/>
  <c r="R534" i="1"/>
  <c r="S534" i="1"/>
  <c r="T534" i="1"/>
  <c r="U534" i="1"/>
  <c r="V534" i="1"/>
  <c r="AB531" i="1"/>
  <c r="AC531" i="1"/>
  <c r="S524" i="1"/>
  <c r="S523" i="1"/>
  <c r="R523" i="1"/>
  <c r="P523" i="1"/>
  <c r="Q523" i="1"/>
  <c r="P524" i="1"/>
  <c r="Q524" i="1"/>
  <c r="R524" i="1"/>
  <c r="O524" i="1"/>
  <c r="O523" i="1"/>
  <c r="Y523" i="1"/>
  <c r="Z523" i="1"/>
  <c r="AA523" i="1"/>
  <c r="AB523" i="1"/>
  <c r="Y524" i="1"/>
  <c r="Z524" i="1"/>
  <c r="AA524" i="1"/>
  <c r="AB524" i="1"/>
  <c r="W524" i="1"/>
  <c r="W523" i="1"/>
  <c r="U523" i="1"/>
  <c r="V523" i="1"/>
  <c r="U524" i="1"/>
  <c r="V524" i="1"/>
  <c r="T524" i="1"/>
  <c r="T523" i="1"/>
  <c r="N524" i="1"/>
  <c r="N523" i="1"/>
  <c r="L524" i="1"/>
  <c r="M524" i="1"/>
  <c r="M523" i="1"/>
  <c r="L523" i="1"/>
  <c r="K524" i="1"/>
  <c r="K523" i="1"/>
  <c r="M522" i="1"/>
  <c r="M516" i="1"/>
  <c r="L516" i="1"/>
  <c r="Y513" i="1"/>
  <c r="Z513" i="1"/>
  <c r="AA513" i="1"/>
  <c r="AB513" i="1"/>
  <c r="M513" i="1"/>
  <c r="N513" i="1"/>
  <c r="O513" i="1"/>
  <c r="P513" i="1"/>
  <c r="Q513" i="1"/>
  <c r="R513" i="1"/>
  <c r="S513" i="1"/>
  <c r="T513" i="1"/>
  <c r="U513" i="1"/>
  <c r="V513" i="1"/>
  <c r="W513" i="1"/>
  <c r="M507" i="1"/>
  <c r="N507" i="1"/>
  <c r="O507" i="1"/>
  <c r="P507" i="1"/>
  <c r="Q507" i="1"/>
  <c r="R507" i="1"/>
  <c r="S507" i="1"/>
  <c r="Y504" i="1"/>
  <c r="Z504" i="1"/>
  <c r="AA504" i="1"/>
  <c r="AB504" i="1"/>
  <c r="M504" i="1"/>
  <c r="N504" i="1"/>
  <c r="O504" i="1"/>
  <c r="P504" i="1"/>
  <c r="Q504" i="1"/>
  <c r="R504" i="1"/>
  <c r="S504" i="1"/>
  <c r="T504" i="1"/>
  <c r="U504" i="1"/>
  <c r="V504" i="1"/>
  <c r="W504" i="1"/>
  <c r="L504" i="1"/>
  <c r="K504" i="1"/>
  <c r="M501" i="1"/>
  <c r="N501" i="1"/>
  <c r="O501" i="1"/>
  <c r="P501" i="1"/>
  <c r="Q501" i="1"/>
  <c r="R501" i="1"/>
  <c r="S501" i="1"/>
  <c r="T501" i="1"/>
  <c r="U501" i="1"/>
  <c r="V501" i="1"/>
  <c r="M498" i="1"/>
  <c r="L498" i="1"/>
  <c r="K498" i="1"/>
  <c r="L501" i="1"/>
  <c r="K501" i="1"/>
  <c r="S495" i="1"/>
  <c r="R495" i="1"/>
  <c r="Q495" i="1"/>
  <c r="P495" i="1"/>
  <c r="O495" i="1"/>
  <c r="N495" i="1"/>
  <c r="M495" i="1"/>
  <c r="L495" i="1"/>
  <c r="K495" i="1"/>
  <c r="R492" i="1"/>
  <c r="M492" i="1"/>
  <c r="N492" i="1"/>
  <c r="O492" i="1"/>
  <c r="P492" i="1"/>
  <c r="Q492" i="1"/>
  <c r="L492" i="1"/>
  <c r="M489" i="1"/>
  <c r="L489" i="1"/>
  <c r="K489" i="1"/>
  <c r="R486" i="1"/>
  <c r="L483" i="1"/>
  <c r="K483" i="1"/>
  <c r="S480" i="1"/>
  <c r="R480" i="1"/>
  <c r="AB477" i="1"/>
  <c r="R477" i="1"/>
  <c r="S477" i="1"/>
  <c r="T477" i="1"/>
  <c r="U477" i="1"/>
  <c r="V477" i="1"/>
  <c r="W477" i="1"/>
  <c r="Y477" i="1"/>
  <c r="Z477" i="1"/>
  <c r="AA477" i="1"/>
  <c r="M471" i="1"/>
  <c r="M468" i="1"/>
  <c r="AA561" i="1"/>
  <c r="Z561" i="1"/>
  <c r="Y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L546" i="1"/>
  <c r="K546" i="1"/>
  <c r="Q540" i="1"/>
  <c r="P540" i="1"/>
  <c r="O540" i="1"/>
  <c r="N540" i="1"/>
  <c r="M540" i="1"/>
  <c r="L540" i="1"/>
  <c r="K540" i="1"/>
  <c r="L537" i="1"/>
  <c r="K537" i="1"/>
  <c r="N534" i="1"/>
  <c r="M534" i="1"/>
  <c r="L534" i="1"/>
  <c r="K534" i="1"/>
  <c r="AA531" i="1"/>
  <c r="Z531" i="1"/>
  <c r="Y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M528" i="1"/>
  <c r="L528" i="1"/>
  <c r="K528" i="1"/>
  <c r="K492" i="1"/>
  <c r="L522" i="1"/>
  <c r="K522" i="1"/>
  <c r="M519" i="1"/>
  <c r="L519" i="1"/>
  <c r="K519" i="1"/>
  <c r="K516" i="1"/>
  <c r="L513" i="1"/>
  <c r="K513" i="1"/>
  <c r="M510" i="1"/>
  <c r="L510" i="1"/>
  <c r="K510" i="1"/>
  <c r="L507" i="1"/>
  <c r="K507" i="1"/>
  <c r="Q486" i="1"/>
  <c r="P486" i="1"/>
  <c r="O486" i="1"/>
  <c r="N486" i="1"/>
  <c r="M486" i="1"/>
  <c r="L486" i="1"/>
  <c r="K486" i="1"/>
  <c r="M483" i="1"/>
  <c r="Q480" i="1"/>
  <c r="P480" i="1"/>
  <c r="O480" i="1"/>
  <c r="N480" i="1"/>
  <c r="M480" i="1"/>
  <c r="L480" i="1"/>
  <c r="K480" i="1"/>
  <c r="Q477" i="1"/>
  <c r="P477" i="1"/>
  <c r="O477" i="1"/>
  <c r="N477" i="1"/>
  <c r="M477" i="1"/>
  <c r="L477" i="1"/>
  <c r="K477" i="1"/>
  <c r="N474" i="1"/>
  <c r="M474" i="1"/>
  <c r="L474" i="1"/>
  <c r="K474" i="1"/>
  <c r="L471" i="1"/>
  <c r="K471" i="1"/>
  <c r="L468" i="1"/>
  <c r="K468" i="1"/>
  <c r="O448" i="1"/>
  <c r="P448" i="1"/>
  <c r="Q448" i="1"/>
  <c r="R448" i="1"/>
  <c r="O447" i="1"/>
  <c r="P447" i="1"/>
  <c r="Q447" i="1"/>
  <c r="R447" i="1"/>
  <c r="N448" i="1"/>
  <c r="N447" i="1"/>
  <c r="M448" i="1"/>
  <c r="M447" i="1"/>
  <c r="L448" i="1"/>
  <c r="L447" i="1"/>
  <c r="K448" i="1"/>
  <c r="R446" i="1"/>
  <c r="M460" i="1"/>
  <c r="N460" i="1"/>
  <c r="O460" i="1"/>
  <c r="P460" i="1"/>
  <c r="Q460" i="1"/>
  <c r="R460" i="1"/>
  <c r="S460" i="1"/>
  <c r="T460" i="1"/>
  <c r="U460" i="1"/>
  <c r="V460" i="1"/>
  <c r="W460" i="1"/>
  <c r="Y460" i="1"/>
  <c r="Z460" i="1"/>
  <c r="AA460" i="1"/>
  <c r="AB460" i="1"/>
  <c r="M459" i="1"/>
  <c r="N459" i="1"/>
  <c r="O459" i="1"/>
  <c r="P459" i="1"/>
  <c r="Q459" i="1"/>
  <c r="R459" i="1"/>
  <c r="S459" i="1"/>
  <c r="T459" i="1"/>
  <c r="U459" i="1"/>
  <c r="V459" i="1"/>
  <c r="W459" i="1"/>
  <c r="Y459" i="1"/>
  <c r="Z459" i="1"/>
  <c r="AA459" i="1"/>
  <c r="AB459" i="1"/>
  <c r="L460" i="1"/>
  <c r="L459" i="1"/>
  <c r="K460" i="1"/>
  <c r="K459" i="1"/>
  <c r="AB458" i="1"/>
  <c r="AB452" i="1"/>
  <c r="AA452" i="1"/>
  <c r="Z452" i="1"/>
  <c r="Y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AB455" i="1"/>
  <c r="AA455" i="1"/>
  <c r="Z455" i="1"/>
  <c r="Y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O433" i="1"/>
  <c r="P433" i="1"/>
  <c r="Q433" i="1"/>
  <c r="R433" i="1"/>
  <c r="S433" i="1"/>
  <c r="T433" i="1"/>
  <c r="U433" i="1"/>
  <c r="V433" i="1"/>
  <c r="W433" i="1"/>
  <c r="Y433" i="1"/>
  <c r="Z433" i="1"/>
  <c r="AA433" i="1"/>
  <c r="O432" i="1"/>
  <c r="P432" i="1"/>
  <c r="Q432" i="1"/>
  <c r="R432" i="1"/>
  <c r="S432" i="1"/>
  <c r="T432" i="1"/>
  <c r="U432" i="1"/>
  <c r="V432" i="1"/>
  <c r="W432" i="1"/>
  <c r="Y432" i="1"/>
  <c r="Z432" i="1"/>
  <c r="AA432" i="1"/>
  <c r="N433" i="1"/>
  <c r="N432" i="1"/>
  <c r="M433" i="1"/>
  <c r="M432" i="1"/>
  <c r="L433" i="1"/>
  <c r="L432" i="1"/>
  <c r="K433" i="1"/>
  <c r="K432" i="1"/>
  <c r="M407" i="1"/>
  <c r="N407" i="1"/>
  <c r="O407" i="1"/>
  <c r="P407" i="1"/>
  <c r="Q407" i="1"/>
  <c r="R407" i="1"/>
  <c r="S407" i="1"/>
  <c r="T407" i="1"/>
  <c r="U407" i="1"/>
  <c r="V407" i="1"/>
  <c r="W407" i="1"/>
  <c r="Y407" i="1"/>
  <c r="Z407" i="1"/>
  <c r="AA407" i="1"/>
  <c r="AC1687" i="1" l="1"/>
  <c r="Y1691" i="1"/>
  <c r="Y1658" i="1"/>
  <c r="AC1686" i="1"/>
  <c r="Y1692" i="1"/>
  <c r="Y1659" i="1"/>
  <c r="AB1684" i="1"/>
  <c r="AB564" i="1"/>
  <c r="AA564" i="1"/>
  <c r="Z564" i="1"/>
  <c r="N634" i="1"/>
  <c r="AC564" i="1"/>
  <c r="U525" i="1"/>
  <c r="M634" i="1"/>
  <c r="V525" i="1"/>
  <c r="AB462" i="1"/>
  <c r="AB463" i="1"/>
  <c r="AB549" i="1"/>
  <c r="Q634" i="1"/>
  <c r="O634" i="1"/>
  <c r="W634" i="1"/>
  <c r="T634" i="1"/>
  <c r="R634" i="1"/>
  <c r="S634" i="1"/>
  <c r="U634" i="1"/>
  <c r="Z634" i="1"/>
  <c r="V634" i="1"/>
  <c r="K671" i="1"/>
  <c r="L671" i="1"/>
  <c r="L672" i="1"/>
  <c r="L707" i="1"/>
  <c r="N707" i="1"/>
  <c r="P707" i="1"/>
  <c r="R707" i="1"/>
  <c r="T707" i="1"/>
  <c r="V707" i="1"/>
  <c r="L710" i="1"/>
  <c r="N710" i="1"/>
  <c r="P710" i="1"/>
  <c r="K707" i="1"/>
  <c r="M707" i="1"/>
  <c r="O707" i="1"/>
  <c r="Q707" i="1"/>
  <c r="S707" i="1"/>
  <c r="U707" i="1"/>
  <c r="K710" i="1"/>
  <c r="M710" i="1"/>
  <c r="O710" i="1"/>
  <c r="S710" i="1"/>
  <c r="R710" i="1"/>
  <c r="T710" i="1"/>
  <c r="V710" i="1"/>
  <c r="Q710" i="1"/>
  <c r="U710" i="1"/>
  <c r="P634" i="1"/>
  <c r="R525" i="1"/>
  <c r="Y634" i="1"/>
  <c r="AB525" i="1"/>
  <c r="Z525" i="1"/>
  <c r="Y652" i="1"/>
  <c r="AA525" i="1"/>
  <c r="Y525" i="1"/>
  <c r="S525" i="1"/>
  <c r="K565" i="1"/>
  <c r="L565" i="1"/>
  <c r="R566" i="1"/>
  <c r="P566" i="1"/>
  <c r="N566" i="1"/>
  <c r="R565" i="1"/>
  <c r="P565" i="1"/>
  <c r="N565" i="1"/>
  <c r="S565" i="1"/>
  <c r="V566" i="1"/>
  <c r="T566" i="1"/>
  <c r="W565" i="1"/>
  <c r="U565" i="1"/>
  <c r="Y565" i="1"/>
  <c r="AC566" i="1"/>
  <c r="AA566" i="1"/>
  <c r="AC565" i="1"/>
  <c r="AA565" i="1"/>
  <c r="K566" i="1"/>
  <c r="L566" i="1"/>
  <c r="Q566" i="1"/>
  <c r="O566" i="1"/>
  <c r="M566" i="1"/>
  <c r="Q565" i="1"/>
  <c r="O565" i="1"/>
  <c r="M565" i="1"/>
  <c r="S566" i="1"/>
  <c r="W566" i="1"/>
  <c r="W567" i="1" s="1"/>
  <c r="U566" i="1"/>
  <c r="U567" i="1" s="1"/>
  <c r="V565" i="1"/>
  <c r="T565" i="1"/>
  <c r="Y566" i="1"/>
  <c r="AB566" i="1"/>
  <c r="Z566" i="1"/>
  <c r="AB565" i="1"/>
  <c r="Z565" i="1"/>
  <c r="K634" i="1"/>
  <c r="K652" i="1"/>
  <c r="M652" i="1"/>
  <c r="O652" i="1"/>
  <c r="Q652" i="1"/>
  <c r="S652" i="1"/>
  <c r="U652" i="1"/>
  <c r="W652" i="1"/>
  <c r="N671" i="1"/>
  <c r="P671" i="1"/>
  <c r="R671" i="1"/>
  <c r="T671" i="1"/>
  <c r="V671" i="1"/>
  <c r="Z671" i="1"/>
  <c r="K672" i="1"/>
  <c r="M672" i="1"/>
  <c r="O672" i="1"/>
  <c r="Q672" i="1"/>
  <c r="S672" i="1"/>
  <c r="U672" i="1"/>
  <c r="W672" i="1"/>
  <c r="Y672" i="1"/>
  <c r="L634" i="1"/>
  <c r="L652" i="1"/>
  <c r="N652" i="1"/>
  <c r="P652" i="1"/>
  <c r="R652" i="1"/>
  <c r="T652" i="1"/>
  <c r="V652" i="1"/>
  <c r="Z652" i="1"/>
  <c r="M671" i="1"/>
  <c r="O671" i="1"/>
  <c r="Q671" i="1"/>
  <c r="S671" i="1"/>
  <c r="U671" i="1"/>
  <c r="W671" i="1"/>
  <c r="Y671" i="1"/>
  <c r="N672" i="1"/>
  <c r="P672" i="1"/>
  <c r="R672" i="1"/>
  <c r="T672" i="1"/>
  <c r="V672" i="1"/>
  <c r="Z672" i="1"/>
  <c r="L670" i="1"/>
  <c r="N670" i="1"/>
  <c r="P670" i="1"/>
  <c r="R670" i="1"/>
  <c r="T670" i="1"/>
  <c r="V670" i="1"/>
  <c r="Z670" i="1"/>
  <c r="K670" i="1"/>
  <c r="M670" i="1"/>
  <c r="O670" i="1"/>
  <c r="Q670" i="1"/>
  <c r="S670" i="1"/>
  <c r="U670" i="1"/>
  <c r="W670" i="1"/>
  <c r="Y670" i="1"/>
  <c r="K525" i="1"/>
  <c r="AC549" i="1"/>
  <c r="T525" i="1"/>
  <c r="L525" i="1"/>
  <c r="W525" i="1"/>
  <c r="K463" i="1"/>
  <c r="L463" i="1"/>
  <c r="AA462" i="1"/>
  <c r="Y462" i="1"/>
  <c r="W462" i="1"/>
  <c r="U462" i="1"/>
  <c r="S462" i="1"/>
  <c r="Q462" i="1"/>
  <c r="O462" i="1"/>
  <c r="M462" i="1"/>
  <c r="AA463" i="1"/>
  <c r="Y463" i="1"/>
  <c r="W463" i="1"/>
  <c r="U463" i="1"/>
  <c r="S463" i="1"/>
  <c r="Q463" i="1"/>
  <c r="M463" i="1"/>
  <c r="K462" i="1"/>
  <c r="L462" i="1"/>
  <c r="Z462" i="1"/>
  <c r="V462" i="1"/>
  <c r="T462" i="1"/>
  <c r="R462" i="1"/>
  <c r="P462" i="1"/>
  <c r="N462" i="1"/>
  <c r="Z463" i="1"/>
  <c r="V463" i="1"/>
  <c r="T463" i="1"/>
  <c r="R463" i="1"/>
  <c r="P463" i="1"/>
  <c r="N463" i="1"/>
  <c r="O463" i="1"/>
  <c r="N525" i="1"/>
  <c r="P525" i="1"/>
  <c r="L549" i="1"/>
  <c r="N549" i="1"/>
  <c r="P549" i="1"/>
  <c r="R549" i="1"/>
  <c r="T549" i="1"/>
  <c r="V549" i="1"/>
  <c r="Z549" i="1"/>
  <c r="M525" i="1"/>
  <c r="O525" i="1"/>
  <c r="Q525" i="1"/>
  <c r="K549" i="1"/>
  <c r="M549" i="1"/>
  <c r="O549" i="1"/>
  <c r="Q549" i="1"/>
  <c r="S549" i="1"/>
  <c r="U549" i="1"/>
  <c r="W549" i="1"/>
  <c r="Y549" i="1"/>
  <c r="AA549" i="1"/>
  <c r="L564" i="1"/>
  <c r="N564" i="1"/>
  <c r="P564" i="1"/>
  <c r="R564" i="1"/>
  <c r="T564" i="1"/>
  <c r="V564" i="1"/>
  <c r="K564" i="1"/>
  <c r="M564" i="1"/>
  <c r="O564" i="1"/>
  <c r="Q564" i="1"/>
  <c r="S564" i="1"/>
  <c r="U564" i="1"/>
  <c r="W564" i="1"/>
  <c r="Y564" i="1"/>
  <c r="AB461" i="1"/>
  <c r="Z461" i="1"/>
  <c r="V461" i="1"/>
  <c r="T461" i="1"/>
  <c r="R461" i="1"/>
  <c r="P461" i="1"/>
  <c r="N461" i="1"/>
  <c r="AA461" i="1"/>
  <c r="Y461" i="1"/>
  <c r="W461" i="1"/>
  <c r="U461" i="1"/>
  <c r="S461" i="1"/>
  <c r="Q461" i="1"/>
  <c r="O461" i="1"/>
  <c r="M461" i="1"/>
  <c r="AA434" i="1"/>
  <c r="Y434" i="1"/>
  <c r="W434" i="1"/>
  <c r="U434" i="1"/>
  <c r="S434" i="1"/>
  <c r="Z434" i="1"/>
  <c r="V434" i="1"/>
  <c r="T434" i="1"/>
  <c r="R434" i="1"/>
  <c r="M404" i="1"/>
  <c r="AA458" i="1"/>
  <c r="Z458" i="1"/>
  <c r="Y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Q446" i="1"/>
  <c r="P446" i="1"/>
  <c r="O446" i="1"/>
  <c r="N446" i="1"/>
  <c r="M446" i="1"/>
  <c r="L446" i="1"/>
  <c r="K446" i="1"/>
  <c r="M443" i="1"/>
  <c r="L443" i="1"/>
  <c r="K443" i="1"/>
  <c r="R440" i="1"/>
  <c r="Q440" i="1"/>
  <c r="P440" i="1"/>
  <c r="O440" i="1"/>
  <c r="N440" i="1"/>
  <c r="M440" i="1"/>
  <c r="L440" i="1"/>
  <c r="K440" i="1"/>
  <c r="M437" i="1"/>
  <c r="L437" i="1"/>
  <c r="K437" i="1"/>
  <c r="M431" i="1"/>
  <c r="L431" i="1"/>
  <c r="K431" i="1"/>
  <c r="M428" i="1"/>
  <c r="L428" i="1"/>
  <c r="K428" i="1"/>
  <c r="M425" i="1"/>
  <c r="L425" i="1"/>
  <c r="K425" i="1"/>
  <c r="M422" i="1"/>
  <c r="L422" i="1"/>
  <c r="K422" i="1"/>
  <c r="M419" i="1"/>
  <c r="L419" i="1"/>
  <c r="K419" i="1"/>
  <c r="M416" i="1"/>
  <c r="L416" i="1"/>
  <c r="K416" i="1"/>
  <c r="M413" i="1"/>
  <c r="L413" i="1"/>
  <c r="K413" i="1"/>
  <c r="M410" i="1"/>
  <c r="L410" i="1"/>
  <c r="K410" i="1"/>
  <c r="L407" i="1"/>
  <c r="K407" i="1"/>
  <c r="L404" i="1"/>
  <c r="K404" i="1"/>
  <c r="K390" i="1"/>
  <c r="T394" i="1"/>
  <c r="U394" i="1"/>
  <c r="V394" i="1"/>
  <c r="W394" i="1"/>
  <c r="Y394" i="1"/>
  <c r="Z394" i="1"/>
  <c r="AA394" i="1"/>
  <c r="M396" i="1"/>
  <c r="N396" i="1"/>
  <c r="O396" i="1"/>
  <c r="P396" i="1"/>
  <c r="Q396" i="1"/>
  <c r="R396" i="1"/>
  <c r="S396" i="1"/>
  <c r="T396" i="1"/>
  <c r="U396" i="1"/>
  <c r="V396" i="1"/>
  <c r="W396" i="1"/>
  <c r="Y396" i="1"/>
  <c r="Z396" i="1"/>
  <c r="AA396" i="1"/>
  <c r="M395" i="1"/>
  <c r="N395" i="1"/>
  <c r="O395" i="1"/>
  <c r="P395" i="1"/>
  <c r="Q395" i="1"/>
  <c r="R395" i="1"/>
  <c r="S395" i="1"/>
  <c r="T395" i="1"/>
  <c r="U395" i="1"/>
  <c r="V395" i="1"/>
  <c r="W395" i="1"/>
  <c r="Y395" i="1"/>
  <c r="Z395" i="1"/>
  <c r="AA395" i="1"/>
  <c r="L395" i="1"/>
  <c r="L396" i="1"/>
  <c r="K395" i="1"/>
  <c r="K396" i="1"/>
  <c r="S390" i="1"/>
  <c r="T390" i="1"/>
  <c r="U390" i="1"/>
  <c r="V390" i="1"/>
  <c r="W390" i="1"/>
  <c r="Y390" i="1"/>
  <c r="Z390" i="1"/>
  <c r="S389" i="1"/>
  <c r="T389" i="1"/>
  <c r="U389" i="1"/>
  <c r="V389" i="1"/>
  <c r="W389" i="1"/>
  <c r="Y389" i="1"/>
  <c r="Z389" i="1"/>
  <c r="AA389" i="1"/>
  <c r="R390" i="1"/>
  <c r="R389" i="1"/>
  <c r="M390" i="1"/>
  <c r="N390" i="1"/>
  <c r="O390" i="1"/>
  <c r="P390" i="1"/>
  <c r="Q390" i="1"/>
  <c r="M389" i="1"/>
  <c r="N389" i="1"/>
  <c r="O389" i="1"/>
  <c r="P389" i="1"/>
  <c r="Q389" i="1"/>
  <c r="L390" i="1"/>
  <c r="L389" i="1"/>
  <c r="K389" i="1"/>
  <c r="Q388" i="1"/>
  <c r="P388" i="1"/>
  <c r="O388" i="1"/>
  <c r="N388" i="1"/>
  <c r="M388" i="1"/>
  <c r="L388" i="1"/>
  <c r="K388" i="1"/>
  <c r="Q382" i="1"/>
  <c r="P382" i="1"/>
  <c r="O382" i="1"/>
  <c r="N382" i="1"/>
  <c r="M382" i="1"/>
  <c r="L382" i="1"/>
  <c r="K382" i="1"/>
  <c r="Q385" i="1"/>
  <c r="P385" i="1"/>
  <c r="O385" i="1"/>
  <c r="N385" i="1"/>
  <c r="M385" i="1"/>
  <c r="L385" i="1"/>
  <c r="K385" i="1"/>
  <c r="AA376" i="1"/>
  <c r="Z376" i="1"/>
  <c r="Y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T373" i="1"/>
  <c r="U373" i="1"/>
  <c r="V373" i="1"/>
  <c r="W373" i="1"/>
  <c r="Y373" i="1"/>
  <c r="Z373" i="1"/>
  <c r="AA373" i="1"/>
  <c r="Q369" i="1"/>
  <c r="Q368" i="1"/>
  <c r="P369" i="1"/>
  <c r="P368" i="1"/>
  <c r="O369" i="1"/>
  <c r="O368" i="1"/>
  <c r="N369" i="1"/>
  <c r="N368" i="1"/>
  <c r="M369" i="1"/>
  <c r="M368" i="1"/>
  <c r="L369" i="1"/>
  <c r="L368" i="1"/>
  <c r="K369" i="1"/>
  <c r="K368" i="1"/>
  <c r="N343" i="1"/>
  <c r="M343" i="1"/>
  <c r="L343" i="1"/>
  <c r="K343" i="1"/>
  <c r="N334" i="1"/>
  <c r="M334" i="1"/>
  <c r="L334" i="1"/>
  <c r="S394" i="1"/>
  <c r="R394" i="1"/>
  <c r="Q394" i="1"/>
  <c r="P394" i="1"/>
  <c r="O394" i="1"/>
  <c r="N394" i="1"/>
  <c r="M394" i="1"/>
  <c r="L394" i="1"/>
  <c r="K394" i="1"/>
  <c r="Q379" i="1"/>
  <c r="P379" i="1"/>
  <c r="O379" i="1"/>
  <c r="N379" i="1"/>
  <c r="M379" i="1"/>
  <c r="L379" i="1"/>
  <c r="K379" i="1"/>
  <c r="S373" i="1"/>
  <c r="R373" i="1"/>
  <c r="Q373" i="1"/>
  <c r="P373" i="1"/>
  <c r="O373" i="1"/>
  <c r="N373" i="1"/>
  <c r="M373" i="1"/>
  <c r="L373" i="1"/>
  <c r="K373" i="1"/>
  <c r="K367" i="1"/>
  <c r="L364" i="1"/>
  <c r="K364" i="1"/>
  <c r="Q361" i="1"/>
  <c r="P361" i="1"/>
  <c r="O361" i="1"/>
  <c r="N361" i="1"/>
  <c r="M361" i="1"/>
  <c r="L361" i="1"/>
  <c r="K361" i="1"/>
  <c r="K358" i="1"/>
  <c r="M355" i="1"/>
  <c r="L355" i="1"/>
  <c r="K355" i="1"/>
  <c r="Q352" i="1"/>
  <c r="P352" i="1"/>
  <c r="O352" i="1"/>
  <c r="N352" i="1"/>
  <c r="M352" i="1"/>
  <c r="L352" i="1"/>
  <c r="K352" i="1"/>
  <c r="Q349" i="1"/>
  <c r="P349" i="1"/>
  <c r="O349" i="1"/>
  <c r="N349" i="1"/>
  <c r="M349" i="1"/>
  <c r="L349" i="1"/>
  <c r="K349" i="1"/>
  <c r="Q346" i="1"/>
  <c r="P346" i="1"/>
  <c r="O346" i="1"/>
  <c r="N346" i="1"/>
  <c r="M346" i="1"/>
  <c r="L346" i="1"/>
  <c r="K346" i="1"/>
  <c r="Q340" i="1"/>
  <c r="P340" i="1"/>
  <c r="O340" i="1"/>
  <c r="N340" i="1"/>
  <c r="M340" i="1"/>
  <c r="L340" i="1"/>
  <c r="K340" i="1"/>
  <c r="Q337" i="1"/>
  <c r="P337" i="1"/>
  <c r="O337" i="1"/>
  <c r="N337" i="1"/>
  <c r="M337" i="1"/>
  <c r="L337" i="1"/>
  <c r="K337" i="1"/>
  <c r="K334" i="1"/>
  <c r="L331" i="1"/>
  <c r="K331" i="1"/>
  <c r="L328" i="1"/>
  <c r="K328" i="1"/>
  <c r="M320" i="1"/>
  <c r="N320" i="1"/>
  <c r="O320" i="1"/>
  <c r="P320" i="1"/>
  <c r="M319" i="1"/>
  <c r="N319" i="1"/>
  <c r="O319" i="1"/>
  <c r="P319" i="1"/>
  <c r="L320" i="1"/>
  <c r="L319" i="1"/>
  <c r="K320" i="1"/>
  <c r="K319" i="1"/>
  <c r="P315" i="1"/>
  <c r="O315" i="1"/>
  <c r="N315" i="1"/>
  <c r="M315" i="1"/>
  <c r="L315" i="1"/>
  <c r="K315" i="1"/>
  <c r="P308" i="1"/>
  <c r="P307" i="1"/>
  <c r="O308" i="1"/>
  <c r="O307" i="1"/>
  <c r="N308" i="1"/>
  <c r="N307" i="1"/>
  <c r="M308" i="1"/>
  <c r="M307" i="1"/>
  <c r="L308" i="1"/>
  <c r="L307" i="1"/>
  <c r="K308" i="1"/>
  <c r="K307" i="1"/>
  <c r="K303" i="1"/>
  <c r="K297" i="1"/>
  <c r="K294" i="1"/>
  <c r="K291" i="1"/>
  <c r="K306" i="1"/>
  <c r="K318" i="1"/>
  <c r="K312" i="1"/>
  <c r="N288" i="1"/>
  <c r="M288" i="1"/>
  <c r="L288" i="1"/>
  <c r="K288" i="1"/>
  <c r="K300" i="1"/>
  <c r="M285" i="1"/>
  <c r="L285" i="1"/>
  <c r="K285" i="1"/>
  <c r="P282" i="1"/>
  <c r="O282" i="1"/>
  <c r="N282" i="1"/>
  <c r="M282" i="1"/>
  <c r="L282" i="1"/>
  <c r="K282" i="1"/>
  <c r="M253" i="1"/>
  <c r="N253" i="1"/>
  <c r="O253" i="1"/>
  <c r="M252" i="1"/>
  <c r="N252" i="1"/>
  <c r="O252" i="1"/>
  <c r="L253" i="1"/>
  <c r="L252" i="1"/>
  <c r="K253" i="1"/>
  <c r="K252" i="1"/>
  <c r="S251" i="1"/>
  <c r="T251" i="1"/>
  <c r="R251" i="1"/>
  <c r="Q251" i="1"/>
  <c r="P251" i="1"/>
  <c r="O251" i="1"/>
  <c r="N251" i="1"/>
  <c r="M251" i="1"/>
  <c r="L251" i="1"/>
  <c r="K251" i="1"/>
  <c r="S248" i="1"/>
  <c r="R248" i="1"/>
  <c r="Q248" i="1"/>
  <c r="P248" i="1"/>
  <c r="O248" i="1"/>
  <c r="N248" i="1"/>
  <c r="M248" i="1"/>
  <c r="L248" i="1"/>
  <c r="K248" i="1"/>
  <c r="O214" i="1"/>
  <c r="O213" i="1"/>
  <c r="M214" i="1"/>
  <c r="N214" i="1"/>
  <c r="M213" i="1"/>
  <c r="N213" i="1"/>
  <c r="L214" i="1"/>
  <c r="L213" i="1"/>
  <c r="T245" i="1"/>
  <c r="S245" i="1"/>
  <c r="R245" i="1"/>
  <c r="Q245" i="1"/>
  <c r="P245" i="1"/>
  <c r="O245" i="1"/>
  <c r="N245" i="1"/>
  <c r="M245" i="1"/>
  <c r="L245" i="1"/>
  <c r="M212" i="1"/>
  <c r="N212" i="1"/>
  <c r="O212" i="1"/>
  <c r="L212" i="1"/>
  <c r="M209" i="1"/>
  <c r="N209" i="1"/>
  <c r="L209" i="1"/>
  <c r="K203" i="1"/>
  <c r="K206" i="1"/>
  <c r="S242" i="1"/>
  <c r="R242" i="1"/>
  <c r="Q242" i="1"/>
  <c r="P242" i="1"/>
  <c r="O242" i="1"/>
  <c r="N242" i="1"/>
  <c r="M242" i="1"/>
  <c r="L242" i="1"/>
  <c r="K242" i="1"/>
  <c r="S239" i="1"/>
  <c r="R239" i="1"/>
  <c r="Q239" i="1"/>
  <c r="P239" i="1"/>
  <c r="O239" i="1"/>
  <c r="N239" i="1"/>
  <c r="M239" i="1"/>
  <c r="L239" i="1"/>
  <c r="K239" i="1"/>
  <c r="M236" i="1"/>
  <c r="N236" i="1"/>
  <c r="O236" i="1"/>
  <c r="P236" i="1"/>
  <c r="Q236" i="1"/>
  <c r="R236" i="1"/>
  <c r="S236" i="1"/>
  <c r="L236" i="1"/>
  <c r="M200" i="1"/>
  <c r="N200" i="1"/>
  <c r="L200" i="1"/>
  <c r="S230" i="1"/>
  <c r="R230" i="1"/>
  <c r="Q230" i="1"/>
  <c r="P230" i="1"/>
  <c r="N230" i="1"/>
  <c r="M230" i="1"/>
  <c r="L230" i="1"/>
  <c r="K230" i="1"/>
  <c r="S227" i="1"/>
  <c r="R227" i="1"/>
  <c r="Q227" i="1"/>
  <c r="P227" i="1"/>
  <c r="O227" i="1"/>
  <c r="N227" i="1"/>
  <c r="M227" i="1"/>
  <c r="L227" i="1"/>
  <c r="K227" i="1"/>
  <c r="S224" i="1"/>
  <c r="R224" i="1"/>
  <c r="Q224" i="1"/>
  <c r="P224" i="1"/>
  <c r="O224" i="1"/>
  <c r="N224" i="1"/>
  <c r="M224" i="1"/>
  <c r="L224" i="1"/>
  <c r="K224" i="1"/>
  <c r="S221" i="1"/>
  <c r="R221" i="1"/>
  <c r="Q221" i="1"/>
  <c r="P221" i="1"/>
  <c r="O221" i="1"/>
  <c r="N221" i="1"/>
  <c r="M221" i="1"/>
  <c r="L221" i="1"/>
  <c r="K221" i="1"/>
  <c r="M233" i="1"/>
  <c r="N233" i="1"/>
  <c r="O233" i="1"/>
  <c r="P233" i="1"/>
  <c r="Q233" i="1"/>
  <c r="R233" i="1"/>
  <c r="S233" i="1"/>
  <c r="L233" i="1"/>
  <c r="M197" i="1"/>
  <c r="N197" i="1"/>
  <c r="O197" i="1"/>
  <c r="P197" i="1"/>
  <c r="Q197" i="1"/>
  <c r="R197" i="1"/>
  <c r="S197" i="1"/>
  <c r="L197" i="1"/>
  <c r="M194" i="1"/>
  <c r="N194" i="1"/>
  <c r="O194" i="1"/>
  <c r="P194" i="1"/>
  <c r="Q194" i="1"/>
  <c r="R194" i="1"/>
  <c r="S194" i="1"/>
  <c r="L194" i="1"/>
  <c r="R191" i="1"/>
  <c r="Q191" i="1"/>
  <c r="P191" i="1"/>
  <c r="O191" i="1"/>
  <c r="M70" i="1"/>
  <c r="K178" i="1"/>
  <c r="K177" i="1"/>
  <c r="R176" i="1"/>
  <c r="O188" i="1"/>
  <c r="P188" i="1"/>
  <c r="Q188" i="1"/>
  <c r="K185" i="1"/>
  <c r="P182" i="1"/>
  <c r="O182" i="1"/>
  <c r="P218" i="1"/>
  <c r="N218" i="1"/>
  <c r="O218" i="1"/>
  <c r="L110" i="1"/>
  <c r="K245" i="1"/>
  <c r="K212" i="1"/>
  <c r="K209" i="1"/>
  <c r="K236" i="1"/>
  <c r="K200" i="1"/>
  <c r="K233" i="1"/>
  <c r="K197" i="1"/>
  <c r="K194" i="1"/>
  <c r="N191" i="1"/>
  <c r="M191" i="1"/>
  <c r="L191" i="1"/>
  <c r="K191" i="1"/>
  <c r="N188" i="1"/>
  <c r="M188" i="1"/>
  <c r="L188" i="1"/>
  <c r="K188" i="1"/>
  <c r="N182" i="1"/>
  <c r="M182" i="1"/>
  <c r="L182" i="1"/>
  <c r="K182" i="1"/>
  <c r="M218" i="1"/>
  <c r="L218" i="1"/>
  <c r="K218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Q176" i="1"/>
  <c r="P176" i="1"/>
  <c r="O176" i="1"/>
  <c r="N176" i="1"/>
  <c r="M176" i="1"/>
  <c r="L176" i="1"/>
  <c r="K176" i="1"/>
  <c r="Y170" i="1"/>
  <c r="Y171" i="1"/>
  <c r="M161" i="1"/>
  <c r="N161" i="1"/>
  <c r="M162" i="1"/>
  <c r="N162" i="1"/>
  <c r="L162" i="1"/>
  <c r="L161" i="1"/>
  <c r="K162" i="1"/>
  <c r="K161" i="1"/>
  <c r="K160" i="1"/>
  <c r="K154" i="1"/>
  <c r="K157" i="1"/>
  <c r="AA1684" i="1" l="1"/>
  <c r="AA1715" i="1"/>
  <c r="Z1687" i="1"/>
  <c r="AC1654" i="1"/>
  <c r="Y1673" i="1"/>
  <c r="Y1713" i="1"/>
  <c r="Y1726" i="1"/>
  <c r="Y1682" i="1"/>
  <c r="Z1686" i="1"/>
  <c r="Y1681" i="1"/>
  <c r="Y1725" i="1"/>
  <c r="Y1674" i="1"/>
  <c r="AC1653" i="1"/>
  <c r="AB1687" i="1"/>
  <c r="AA1687" i="1"/>
  <c r="AB1686" i="1"/>
  <c r="AB1653" i="1"/>
  <c r="AB1654" i="1"/>
  <c r="AA1676" i="1"/>
  <c r="Y1661" i="1"/>
  <c r="Z1661" i="1"/>
  <c r="AB1661" i="1"/>
  <c r="AA1661" i="1"/>
  <c r="Z1693" i="1"/>
  <c r="AB1693" i="1"/>
  <c r="AA1693" i="1"/>
  <c r="Y1693" i="1"/>
  <c r="K322" i="1"/>
  <c r="AC1715" i="1"/>
  <c r="P276" i="1"/>
  <c r="AC1727" i="1"/>
  <c r="AC1732" i="1" s="1"/>
  <c r="AB1727" i="1"/>
  <c r="AB1732" i="1" s="1"/>
  <c r="AB1715" i="1"/>
  <c r="AB1720" i="1" s="1"/>
  <c r="AB1676" i="1"/>
  <c r="AC1684" i="1"/>
  <c r="AB464" i="1"/>
  <c r="S277" i="1"/>
  <c r="K673" i="1"/>
  <c r="T673" i="1"/>
  <c r="P673" i="1"/>
  <c r="L567" i="1"/>
  <c r="L673" i="1"/>
  <c r="Z673" i="1"/>
  <c r="V673" i="1"/>
  <c r="R673" i="1"/>
  <c r="N673" i="1"/>
  <c r="Y673" i="1"/>
  <c r="U673" i="1"/>
  <c r="M673" i="1"/>
  <c r="W673" i="1"/>
  <c r="S673" i="1"/>
  <c r="O673" i="1"/>
  <c r="Q673" i="1"/>
  <c r="Y567" i="1"/>
  <c r="V567" i="1"/>
  <c r="S567" i="1"/>
  <c r="T567" i="1"/>
  <c r="M567" i="1"/>
  <c r="Q567" i="1"/>
  <c r="P567" i="1"/>
  <c r="AB567" i="1"/>
  <c r="O567" i="1"/>
  <c r="AA567" i="1"/>
  <c r="N567" i="1"/>
  <c r="R567" i="1"/>
  <c r="Z567" i="1"/>
  <c r="AC567" i="1"/>
  <c r="K567" i="1"/>
  <c r="AA391" i="1"/>
  <c r="Y391" i="1"/>
  <c r="W391" i="1"/>
  <c r="U391" i="1"/>
  <c r="S391" i="1"/>
  <c r="Z391" i="1"/>
  <c r="R391" i="1"/>
  <c r="V391" i="1"/>
  <c r="T391" i="1"/>
  <c r="K398" i="1"/>
  <c r="L398" i="1"/>
  <c r="Z398" i="1"/>
  <c r="V398" i="1"/>
  <c r="T398" i="1"/>
  <c r="R398" i="1"/>
  <c r="AA399" i="1"/>
  <c r="Y399" i="1"/>
  <c r="Y1642" i="1" s="1"/>
  <c r="W399" i="1"/>
  <c r="U399" i="1"/>
  <c r="S399" i="1"/>
  <c r="L399" i="1"/>
  <c r="AA398" i="1"/>
  <c r="AA1653" i="1" s="1"/>
  <c r="Y398" i="1"/>
  <c r="Y1641" i="1" s="1"/>
  <c r="Y1653" i="1" s="1"/>
  <c r="W398" i="1"/>
  <c r="U398" i="1"/>
  <c r="S398" i="1"/>
  <c r="Z399" i="1"/>
  <c r="V399" i="1"/>
  <c r="T399" i="1"/>
  <c r="R399" i="1"/>
  <c r="P398" i="1"/>
  <c r="N398" i="1"/>
  <c r="Q399" i="1"/>
  <c r="O399" i="1"/>
  <c r="M399" i="1"/>
  <c r="K434" i="1"/>
  <c r="M434" i="1"/>
  <c r="O434" i="1"/>
  <c r="Q434" i="1"/>
  <c r="K449" i="1"/>
  <c r="M449" i="1"/>
  <c r="O449" i="1"/>
  <c r="Q449" i="1"/>
  <c r="Q398" i="1"/>
  <c r="O398" i="1"/>
  <c r="M398" i="1"/>
  <c r="P399" i="1"/>
  <c r="N399" i="1"/>
  <c r="N400" i="1" s="1"/>
  <c r="K399" i="1"/>
  <c r="L434" i="1"/>
  <c r="N434" i="1"/>
  <c r="P434" i="1"/>
  <c r="L449" i="1"/>
  <c r="N449" i="1"/>
  <c r="P449" i="1"/>
  <c r="R449" i="1"/>
  <c r="K464" i="1"/>
  <c r="M464" i="1"/>
  <c r="O464" i="1"/>
  <c r="Q464" i="1"/>
  <c r="S464" i="1"/>
  <c r="U464" i="1"/>
  <c r="W464" i="1"/>
  <c r="Y464" i="1"/>
  <c r="AA464" i="1"/>
  <c r="L461" i="1"/>
  <c r="K461" i="1"/>
  <c r="AA397" i="1"/>
  <c r="Y397" i="1"/>
  <c r="W397" i="1"/>
  <c r="U397" i="1"/>
  <c r="S397" i="1"/>
  <c r="Q397" i="1"/>
  <c r="O397" i="1"/>
  <c r="Z397" i="1"/>
  <c r="V397" i="1"/>
  <c r="T397" i="1"/>
  <c r="R397" i="1"/>
  <c r="P397" i="1"/>
  <c r="N397" i="1"/>
  <c r="P391" i="1"/>
  <c r="N391" i="1"/>
  <c r="Q391" i="1"/>
  <c r="O391" i="1"/>
  <c r="M391" i="1"/>
  <c r="K323" i="1"/>
  <c r="L323" i="1"/>
  <c r="O322" i="1"/>
  <c r="M322" i="1"/>
  <c r="O323" i="1"/>
  <c r="M323" i="1"/>
  <c r="L322" i="1"/>
  <c r="P322" i="1"/>
  <c r="N322" i="1"/>
  <c r="P323" i="1"/>
  <c r="N323" i="1"/>
  <c r="K370" i="1"/>
  <c r="M370" i="1"/>
  <c r="O370" i="1"/>
  <c r="Q370" i="1"/>
  <c r="L391" i="1"/>
  <c r="L370" i="1"/>
  <c r="N370" i="1"/>
  <c r="P370" i="1"/>
  <c r="K391" i="1"/>
  <c r="L397" i="1"/>
  <c r="K397" i="1"/>
  <c r="M397" i="1"/>
  <c r="M276" i="1"/>
  <c r="O277" i="1"/>
  <c r="N276" i="1"/>
  <c r="Q276" i="1"/>
  <c r="R276" i="1"/>
  <c r="R277" i="1"/>
  <c r="K276" i="1"/>
  <c r="L276" i="1"/>
  <c r="K277" i="1"/>
  <c r="M277" i="1"/>
  <c r="N277" i="1"/>
  <c r="O276" i="1"/>
  <c r="P277" i="1"/>
  <c r="Q277" i="1"/>
  <c r="L277" i="1"/>
  <c r="T278" i="1"/>
  <c r="L254" i="1"/>
  <c r="K309" i="1"/>
  <c r="M309" i="1"/>
  <c r="O309" i="1"/>
  <c r="L321" i="1"/>
  <c r="N321" i="1"/>
  <c r="P321" i="1"/>
  <c r="S276" i="1"/>
  <c r="L309" i="1"/>
  <c r="N309" i="1"/>
  <c r="P309" i="1"/>
  <c r="K321" i="1"/>
  <c r="M321" i="1"/>
  <c r="O321" i="1"/>
  <c r="P215" i="1"/>
  <c r="O254" i="1"/>
  <c r="P254" i="1"/>
  <c r="K254" i="1"/>
  <c r="N254" i="1"/>
  <c r="M254" i="1"/>
  <c r="N215" i="1"/>
  <c r="M215" i="1"/>
  <c r="S215" i="1"/>
  <c r="R215" i="1"/>
  <c r="Q215" i="1"/>
  <c r="O215" i="1"/>
  <c r="L179" i="1"/>
  <c r="N179" i="1"/>
  <c r="L215" i="1"/>
  <c r="K179" i="1"/>
  <c r="M179" i="1"/>
  <c r="O179" i="1"/>
  <c r="Q179" i="1"/>
  <c r="K215" i="1"/>
  <c r="P179" i="1"/>
  <c r="R179" i="1"/>
  <c r="K148" i="1"/>
  <c r="K145" i="1"/>
  <c r="K151" i="1"/>
  <c r="N122" i="1"/>
  <c r="N1700" i="1" s="1"/>
  <c r="O122" i="1"/>
  <c r="P122" i="1"/>
  <c r="P1663" i="1" s="1"/>
  <c r="Q122" i="1"/>
  <c r="R122" i="1"/>
  <c r="S122" i="1"/>
  <c r="T122" i="1"/>
  <c r="U122" i="1"/>
  <c r="V122" i="1"/>
  <c r="W122" i="1"/>
  <c r="W1700" i="1" s="1"/>
  <c r="N123" i="1"/>
  <c r="N1701" i="1" s="1"/>
  <c r="O123" i="1"/>
  <c r="P123" i="1"/>
  <c r="Q123" i="1"/>
  <c r="R123" i="1"/>
  <c r="S123" i="1"/>
  <c r="T123" i="1"/>
  <c r="U123" i="1"/>
  <c r="V123" i="1"/>
  <c r="W123" i="1"/>
  <c r="M123" i="1"/>
  <c r="M122" i="1"/>
  <c r="L123" i="1"/>
  <c r="L122" i="1"/>
  <c r="K123" i="1"/>
  <c r="K122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K139" i="1"/>
  <c r="K110" i="1"/>
  <c r="K109" i="1"/>
  <c r="L109" i="1"/>
  <c r="L105" i="1"/>
  <c r="K105" i="1"/>
  <c r="N136" i="1"/>
  <c r="M136" i="1"/>
  <c r="L136" i="1"/>
  <c r="K136" i="1"/>
  <c r="M133" i="1"/>
  <c r="N133" i="1"/>
  <c r="L133" i="1"/>
  <c r="N130" i="1"/>
  <c r="M130" i="1"/>
  <c r="L130" i="1"/>
  <c r="M127" i="1"/>
  <c r="N127" i="1"/>
  <c r="L127" i="1"/>
  <c r="K121" i="1"/>
  <c r="O168" i="1"/>
  <c r="N168" i="1"/>
  <c r="M168" i="1"/>
  <c r="L168" i="1"/>
  <c r="K168" i="1"/>
  <c r="O167" i="1"/>
  <c r="N167" i="1"/>
  <c r="M167" i="1"/>
  <c r="L167" i="1"/>
  <c r="K167" i="1"/>
  <c r="N166" i="1"/>
  <c r="M166" i="1"/>
  <c r="L166" i="1"/>
  <c r="K166" i="1"/>
  <c r="K142" i="1"/>
  <c r="K133" i="1"/>
  <c r="K130" i="1"/>
  <c r="K127" i="1"/>
  <c r="K71" i="1"/>
  <c r="K89" i="1"/>
  <c r="K88" i="1"/>
  <c r="O71" i="1"/>
  <c r="P71" i="1"/>
  <c r="Q71" i="1"/>
  <c r="R71" i="1"/>
  <c r="S71" i="1"/>
  <c r="T71" i="1"/>
  <c r="U71" i="1"/>
  <c r="V71" i="1"/>
  <c r="W71" i="1"/>
  <c r="W70" i="1"/>
  <c r="V70" i="1"/>
  <c r="O70" i="1"/>
  <c r="P70" i="1"/>
  <c r="Q70" i="1"/>
  <c r="R70" i="1"/>
  <c r="S70" i="1"/>
  <c r="T70" i="1"/>
  <c r="U70" i="1"/>
  <c r="N71" i="1"/>
  <c r="N70" i="1"/>
  <c r="M71" i="1"/>
  <c r="L71" i="1"/>
  <c r="L70" i="1"/>
  <c r="L69" i="1"/>
  <c r="K69" i="1"/>
  <c r="K63" i="1"/>
  <c r="K66" i="1"/>
  <c r="V57" i="1"/>
  <c r="W57" i="1"/>
  <c r="U57" i="1"/>
  <c r="T57" i="1"/>
  <c r="S57" i="1"/>
  <c r="R57" i="1"/>
  <c r="Q57" i="1"/>
  <c r="P57" i="1"/>
  <c r="O57" i="1"/>
  <c r="N57" i="1"/>
  <c r="M57" i="1"/>
  <c r="L57" i="1"/>
  <c r="K57" i="1"/>
  <c r="U54" i="1"/>
  <c r="T54" i="1"/>
  <c r="S54" i="1"/>
  <c r="R54" i="1"/>
  <c r="Q54" i="1"/>
  <c r="P54" i="1"/>
  <c r="O54" i="1"/>
  <c r="N54" i="1"/>
  <c r="M54" i="1"/>
  <c r="L54" i="1"/>
  <c r="K54" i="1"/>
  <c r="M60" i="1"/>
  <c r="L60" i="1"/>
  <c r="K60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W51" i="1"/>
  <c r="V42" i="1"/>
  <c r="U42" i="1"/>
  <c r="T42" i="1"/>
  <c r="S42" i="1"/>
  <c r="R42" i="1"/>
  <c r="Q42" i="1"/>
  <c r="P42" i="1"/>
  <c r="O42" i="1"/>
  <c r="N42" i="1"/>
  <c r="M42" i="1"/>
  <c r="L42" i="1"/>
  <c r="K42" i="1"/>
  <c r="V51" i="1"/>
  <c r="U51" i="1"/>
  <c r="T51" i="1"/>
  <c r="S51" i="1"/>
  <c r="R51" i="1"/>
  <c r="Q51" i="1"/>
  <c r="P51" i="1"/>
  <c r="O51" i="1"/>
  <c r="N51" i="1"/>
  <c r="M51" i="1"/>
  <c r="L51" i="1"/>
  <c r="K51" i="1"/>
  <c r="M39" i="1"/>
  <c r="O39" i="1"/>
  <c r="P39" i="1"/>
  <c r="Q39" i="1"/>
  <c r="R39" i="1"/>
  <c r="S39" i="1"/>
  <c r="T39" i="1"/>
  <c r="U39" i="1"/>
  <c r="V39" i="1"/>
  <c r="W39" i="1"/>
  <c r="L39" i="1"/>
  <c r="M76" i="1"/>
  <c r="N76" i="1"/>
  <c r="N1704" i="1" s="1"/>
  <c r="O76" i="1"/>
  <c r="P76" i="1"/>
  <c r="P1668" i="1" s="1"/>
  <c r="Q76" i="1"/>
  <c r="R76" i="1"/>
  <c r="S76" i="1"/>
  <c r="T76" i="1"/>
  <c r="U76" i="1"/>
  <c r="V76" i="1"/>
  <c r="W76" i="1"/>
  <c r="W1704" i="1" s="1"/>
  <c r="M77" i="1"/>
  <c r="N77" i="1"/>
  <c r="N1705" i="1" s="1"/>
  <c r="O77" i="1"/>
  <c r="P77" i="1"/>
  <c r="Q77" i="1"/>
  <c r="R77" i="1"/>
  <c r="S77" i="1"/>
  <c r="T77" i="1"/>
  <c r="U77" i="1"/>
  <c r="V77" i="1"/>
  <c r="W77" i="1"/>
  <c r="L77" i="1"/>
  <c r="L76" i="1"/>
  <c r="S75" i="1"/>
  <c r="T75" i="1"/>
  <c r="U75" i="1"/>
  <c r="V75" i="1"/>
  <c r="W75" i="1"/>
  <c r="K77" i="1"/>
  <c r="K76" i="1"/>
  <c r="R75" i="1"/>
  <c r="Q75" i="1"/>
  <c r="P75" i="1"/>
  <c r="O75" i="1"/>
  <c r="N75" i="1"/>
  <c r="M75" i="1"/>
  <c r="L75" i="1"/>
  <c r="K75" i="1"/>
  <c r="T88" i="1"/>
  <c r="U88" i="1"/>
  <c r="V88" i="1"/>
  <c r="W88" i="1"/>
  <c r="T89" i="1"/>
  <c r="U89" i="1"/>
  <c r="V89" i="1"/>
  <c r="W89" i="1"/>
  <c r="S89" i="1"/>
  <c r="S88" i="1"/>
  <c r="R89" i="1"/>
  <c r="R88" i="1"/>
  <c r="M88" i="1"/>
  <c r="N88" i="1"/>
  <c r="O88" i="1"/>
  <c r="P88" i="1"/>
  <c r="Q88" i="1"/>
  <c r="M89" i="1"/>
  <c r="N89" i="1"/>
  <c r="O89" i="1"/>
  <c r="P89" i="1"/>
  <c r="Q89" i="1"/>
  <c r="L89" i="1"/>
  <c r="L88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M81" i="1"/>
  <c r="N81" i="1"/>
  <c r="O81" i="1"/>
  <c r="P81" i="1"/>
  <c r="Q81" i="1"/>
  <c r="L81" i="1"/>
  <c r="Y1686" i="1" l="1"/>
  <c r="Y1684" i="1"/>
  <c r="AA1654" i="1"/>
  <c r="AB1734" i="1"/>
  <c r="AB1736" i="1" s="1"/>
  <c r="AA1686" i="1"/>
  <c r="AA1689" i="1" s="1"/>
  <c r="AC1720" i="1"/>
  <c r="AC1734" i="1"/>
  <c r="AC1736" i="1" s="1"/>
  <c r="T400" i="1"/>
  <c r="Y1687" i="1"/>
  <c r="R400" i="1"/>
  <c r="K171" i="1"/>
  <c r="K170" i="1"/>
  <c r="N171" i="1"/>
  <c r="N170" i="1"/>
  <c r="W1692" i="1"/>
  <c r="W1659" i="1"/>
  <c r="W1713" i="1"/>
  <c r="W1673" i="1"/>
  <c r="W1714" i="1"/>
  <c r="W1674" i="1"/>
  <c r="W1691" i="1"/>
  <c r="W1658" i="1"/>
  <c r="AB1643" i="1"/>
  <c r="V1692" i="1"/>
  <c r="V1659" i="1"/>
  <c r="V1691" i="1"/>
  <c r="V1658" i="1"/>
  <c r="P400" i="1"/>
  <c r="Z1684" i="1"/>
  <c r="V1714" i="1"/>
  <c r="V1674" i="1"/>
  <c r="V1713" i="1"/>
  <c r="V1673" i="1"/>
  <c r="U1658" i="1"/>
  <c r="U1691" i="1"/>
  <c r="U1714" i="1"/>
  <c r="U1674" i="1"/>
  <c r="U1713" i="1"/>
  <c r="U1673" i="1"/>
  <c r="U1692" i="1"/>
  <c r="U1659" i="1"/>
  <c r="U90" i="1"/>
  <c r="T90" i="1"/>
  <c r="V90" i="1"/>
  <c r="W90" i="1"/>
  <c r="M324" i="1"/>
  <c r="Z400" i="1"/>
  <c r="U400" i="1"/>
  <c r="Y400" i="1"/>
  <c r="S278" i="1"/>
  <c r="W400" i="1"/>
  <c r="M171" i="1"/>
  <c r="O278" i="1"/>
  <c r="O324" i="1"/>
  <c r="AA400" i="1"/>
  <c r="Z1727" i="1"/>
  <c r="Z1732" i="1" s="1"/>
  <c r="S400" i="1"/>
  <c r="M170" i="1"/>
  <c r="V400" i="1"/>
  <c r="AB1656" i="1"/>
  <c r="Z1643" i="1"/>
  <c r="AC1643" i="1"/>
  <c r="Z1715" i="1"/>
  <c r="Z1720" i="1" s="1"/>
  <c r="Y1654" i="1"/>
  <c r="AA1720" i="1"/>
  <c r="Z1676" i="1"/>
  <c r="Y1727" i="1"/>
  <c r="Y1732" i="1" s="1"/>
  <c r="Y1715" i="1"/>
  <c r="Y1676" i="1"/>
  <c r="AA1727" i="1"/>
  <c r="AA1732" i="1" s="1"/>
  <c r="V1669" i="1"/>
  <c r="V1705" i="1"/>
  <c r="T1705" i="1"/>
  <c r="T1669" i="1"/>
  <c r="R1669" i="1"/>
  <c r="R1705" i="1"/>
  <c r="W1668" i="1"/>
  <c r="U1704" i="1"/>
  <c r="U1668" i="1"/>
  <c r="S1704" i="1"/>
  <c r="S1668" i="1"/>
  <c r="V1701" i="1"/>
  <c r="V1664" i="1"/>
  <c r="T1664" i="1"/>
  <c r="T1701" i="1"/>
  <c r="R1664" i="1"/>
  <c r="R1701" i="1"/>
  <c r="W1663" i="1"/>
  <c r="U1700" i="1"/>
  <c r="U1663" i="1"/>
  <c r="S1700" i="1"/>
  <c r="S1663" i="1"/>
  <c r="W1705" i="1"/>
  <c r="W1669" i="1"/>
  <c r="U1669" i="1"/>
  <c r="U1705" i="1"/>
  <c r="S1669" i="1"/>
  <c r="S1705" i="1"/>
  <c r="V1704" i="1"/>
  <c r="V1668" i="1"/>
  <c r="T1704" i="1"/>
  <c r="T1668" i="1"/>
  <c r="R1668" i="1"/>
  <c r="R1704" i="1"/>
  <c r="W1701" i="1"/>
  <c r="W1664" i="1"/>
  <c r="U1701" i="1"/>
  <c r="U1664" i="1"/>
  <c r="S1701" i="1"/>
  <c r="S1664" i="1"/>
  <c r="V1700" i="1"/>
  <c r="V1663" i="1"/>
  <c r="T1700" i="1"/>
  <c r="T1663" i="1"/>
  <c r="R1663" i="1"/>
  <c r="R1700" i="1"/>
  <c r="Q1705" i="1"/>
  <c r="Q1669" i="1"/>
  <c r="Q1664" i="1"/>
  <c r="Q1701" i="1"/>
  <c r="Q1704" i="1"/>
  <c r="Q1668" i="1"/>
  <c r="Q1700" i="1"/>
  <c r="Q1663" i="1"/>
  <c r="AC1656" i="1"/>
  <c r="AC1689" i="1"/>
  <c r="AB1689" i="1"/>
  <c r="N1706" i="1"/>
  <c r="N1711" i="1" s="1"/>
  <c r="N1702" i="1"/>
  <c r="L1658" i="1"/>
  <c r="L1691" i="1"/>
  <c r="P1669" i="1"/>
  <c r="P1671" i="1" s="1"/>
  <c r="P1705" i="1"/>
  <c r="N1669" i="1"/>
  <c r="O1668" i="1"/>
  <c r="O1704" i="1"/>
  <c r="M1668" i="1"/>
  <c r="M1704" i="1"/>
  <c r="M1664" i="1"/>
  <c r="M1701" i="1"/>
  <c r="O1664" i="1"/>
  <c r="O1701" i="1"/>
  <c r="P1700" i="1"/>
  <c r="N1663" i="1"/>
  <c r="O1669" i="1"/>
  <c r="O1705" i="1"/>
  <c r="M1669" i="1"/>
  <c r="M1705" i="1"/>
  <c r="P1704" i="1"/>
  <c r="N1668" i="1"/>
  <c r="M1663" i="1"/>
  <c r="M1700" i="1"/>
  <c r="P1664" i="1"/>
  <c r="P1666" i="1" s="1"/>
  <c r="P1701" i="1"/>
  <c r="N1664" i="1"/>
  <c r="O1663" i="1"/>
  <c r="O1700" i="1"/>
  <c r="L1668" i="1"/>
  <c r="L1704" i="1"/>
  <c r="L1669" i="1"/>
  <c r="L1705" i="1"/>
  <c r="L1663" i="1"/>
  <c r="L1700" i="1"/>
  <c r="L1664" i="1"/>
  <c r="L1701" i="1"/>
  <c r="W171" i="1"/>
  <c r="U171" i="1"/>
  <c r="S171" i="1"/>
  <c r="Q171" i="1"/>
  <c r="O171" i="1"/>
  <c r="V170" i="1"/>
  <c r="T170" i="1"/>
  <c r="R170" i="1"/>
  <c r="P170" i="1"/>
  <c r="V171" i="1"/>
  <c r="T171" i="1"/>
  <c r="R171" i="1"/>
  <c r="P171" i="1"/>
  <c r="W170" i="1"/>
  <c r="U170" i="1"/>
  <c r="S170" i="1"/>
  <c r="Q170" i="1"/>
  <c r="O170" i="1"/>
  <c r="N324" i="1"/>
  <c r="P464" i="1"/>
  <c r="T464" i="1"/>
  <c r="P324" i="1"/>
  <c r="Z464" i="1"/>
  <c r="V464" i="1"/>
  <c r="R464" i="1"/>
  <c r="M400" i="1"/>
  <c r="L170" i="1"/>
  <c r="L324" i="1"/>
  <c r="L464" i="1"/>
  <c r="N464" i="1"/>
  <c r="Q400" i="1"/>
  <c r="O400" i="1"/>
  <c r="L400" i="1"/>
  <c r="P278" i="1"/>
  <c r="K400" i="1"/>
  <c r="K324" i="1"/>
  <c r="R278" i="1"/>
  <c r="Q278" i="1"/>
  <c r="K278" i="1"/>
  <c r="L278" i="1"/>
  <c r="M278" i="1"/>
  <c r="L113" i="1"/>
  <c r="K112" i="1"/>
  <c r="N278" i="1"/>
  <c r="L112" i="1"/>
  <c r="L171" i="1"/>
  <c r="L111" i="1"/>
  <c r="L124" i="1"/>
  <c r="K113" i="1"/>
  <c r="L163" i="1"/>
  <c r="N163" i="1"/>
  <c r="M169" i="1"/>
  <c r="K124" i="1"/>
  <c r="M124" i="1"/>
  <c r="O124" i="1"/>
  <c r="Q124" i="1"/>
  <c r="S124" i="1"/>
  <c r="U124" i="1"/>
  <c r="W124" i="1"/>
  <c r="K163" i="1"/>
  <c r="M163" i="1"/>
  <c r="L169" i="1"/>
  <c r="N169" i="1"/>
  <c r="N124" i="1"/>
  <c r="P124" i="1"/>
  <c r="R124" i="1"/>
  <c r="T124" i="1"/>
  <c r="V124" i="1"/>
  <c r="K169" i="1"/>
  <c r="W72" i="1"/>
  <c r="U72" i="1"/>
  <c r="V72" i="1"/>
  <c r="S90" i="1"/>
  <c r="U78" i="1"/>
  <c r="W78" i="1"/>
  <c r="W1706" i="1" s="1"/>
  <c r="V78" i="1"/>
  <c r="V1706" i="1" s="1"/>
  <c r="O109" i="1"/>
  <c r="O112" i="1" s="1"/>
  <c r="P109" i="1"/>
  <c r="P112" i="1" s="1"/>
  <c r="Q109" i="1"/>
  <c r="Q112" i="1" s="1"/>
  <c r="R109" i="1"/>
  <c r="R112" i="1" s="1"/>
  <c r="S109" i="1"/>
  <c r="T109" i="1"/>
  <c r="U109" i="1"/>
  <c r="V109" i="1"/>
  <c r="W109" i="1"/>
  <c r="O110" i="1"/>
  <c r="O113" i="1" s="1"/>
  <c r="P110" i="1"/>
  <c r="P113" i="1" s="1"/>
  <c r="Q110" i="1"/>
  <c r="Q113" i="1" s="1"/>
  <c r="R110" i="1"/>
  <c r="R113" i="1" s="1"/>
  <c r="S110" i="1"/>
  <c r="T110" i="1"/>
  <c r="U110" i="1"/>
  <c r="V110" i="1"/>
  <c r="W110" i="1"/>
  <c r="W113" i="1" s="1"/>
  <c r="N110" i="1"/>
  <c r="N113" i="1" s="1"/>
  <c r="N109" i="1"/>
  <c r="N112" i="1" s="1"/>
  <c r="M110" i="1"/>
  <c r="M113" i="1" s="1"/>
  <c r="M109" i="1"/>
  <c r="M112" i="1" s="1"/>
  <c r="K108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W99" i="1"/>
  <c r="V99" i="1"/>
  <c r="U99" i="1"/>
  <c r="S99" i="1"/>
  <c r="R99" i="1"/>
  <c r="Q99" i="1"/>
  <c r="P99" i="1"/>
  <c r="O99" i="1"/>
  <c r="N99" i="1"/>
  <c r="M99" i="1"/>
  <c r="L99" i="1"/>
  <c r="K99" i="1"/>
  <c r="U96" i="1"/>
  <c r="V96" i="1"/>
  <c r="W96" i="1"/>
  <c r="N96" i="1"/>
  <c r="L96" i="1"/>
  <c r="T96" i="1"/>
  <c r="R96" i="1"/>
  <c r="Q96" i="1"/>
  <c r="P96" i="1"/>
  <c r="O96" i="1"/>
  <c r="M96" i="1"/>
  <c r="K96" i="1"/>
  <c r="M93" i="1"/>
  <c r="L93" i="1"/>
  <c r="K93" i="1"/>
  <c r="K39" i="1"/>
  <c r="R87" i="1"/>
  <c r="Q87" i="1"/>
  <c r="P87" i="1"/>
  <c r="O87" i="1"/>
  <c r="N87" i="1"/>
  <c r="M87" i="1"/>
  <c r="L87" i="1"/>
  <c r="K87" i="1"/>
  <c r="K81" i="1"/>
  <c r="K25" i="1"/>
  <c r="K24" i="1"/>
  <c r="K20" i="1"/>
  <c r="K16" i="1"/>
  <c r="K15" i="1"/>
  <c r="K5" i="1"/>
  <c r="K8" i="1"/>
  <c r="K11" i="1"/>
  <c r="M29" i="1"/>
  <c r="N29" i="1"/>
  <c r="O29" i="1"/>
  <c r="P29" i="1"/>
  <c r="Q29" i="1"/>
  <c r="R29" i="1"/>
  <c r="S29" i="1"/>
  <c r="T29" i="1"/>
  <c r="M14" i="1"/>
  <c r="N14" i="1"/>
  <c r="O14" i="1"/>
  <c r="P14" i="1"/>
  <c r="Q14" i="1"/>
  <c r="R14" i="1"/>
  <c r="T14" i="1"/>
  <c r="M23" i="1"/>
  <c r="N23" i="1"/>
  <c r="O23" i="1"/>
  <c r="P23" i="1"/>
  <c r="Q23" i="1"/>
  <c r="R23" i="1"/>
  <c r="S23" i="1"/>
  <c r="T23" i="1"/>
  <c r="L14" i="1"/>
  <c r="K31" i="1"/>
  <c r="K30" i="1"/>
  <c r="L29" i="1"/>
  <c r="K14" i="1"/>
  <c r="K23" i="1"/>
  <c r="K29" i="1"/>
  <c r="T31" i="1"/>
  <c r="S31" i="1"/>
  <c r="R31" i="1"/>
  <c r="Q31" i="1"/>
  <c r="P31" i="1"/>
  <c r="O31" i="1"/>
  <c r="N31" i="1"/>
  <c r="M31" i="1"/>
  <c r="L31" i="1"/>
  <c r="T30" i="1"/>
  <c r="S30" i="1"/>
  <c r="R30" i="1"/>
  <c r="Q30" i="1"/>
  <c r="P30" i="1"/>
  <c r="O30" i="1"/>
  <c r="N30" i="1"/>
  <c r="M30" i="1"/>
  <c r="L30" i="1"/>
  <c r="T16" i="1"/>
  <c r="S16" i="1"/>
  <c r="S1659" i="1" s="1"/>
  <c r="R16" i="1"/>
  <c r="Q16" i="1"/>
  <c r="Q1692" i="1" s="1"/>
  <c r="P16" i="1"/>
  <c r="P1659" i="1" s="1"/>
  <c r="O16" i="1"/>
  <c r="O1659" i="1" s="1"/>
  <c r="N16" i="1"/>
  <c r="M16" i="1"/>
  <c r="L16" i="1"/>
  <c r="T15" i="1"/>
  <c r="S15" i="1"/>
  <c r="S1691" i="1" s="1"/>
  <c r="R15" i="1"/>
  <c r="Q15" i="1"/>
  <c r="Q1691" i="1" s="1"/>
  <c r="P15" i="1"/>
  <c r="P1658" i="1" s="1"/>
  <c r="O15" i="1"/>
  <c r="O1658" i="1" s="1"/>
  <c r="N15" i="1"/>
  <c r="M15" i="1"/>
  <c r="T25" i="1"/>
  <c r="S25" i="1"/>
  <c r="S1674" i="1" s="1"/>
  <c r="R25" i="1"/>
  <c r="Q25" i="1"/>
  <c r="Q1714" i="1" s="1"/>
  <c r="P25" i="1"/>
  <c r="O25" i="1"/>
  <c r="N25" i="1"/>
  <c r="N1714" i="1" s="1"/>
  <c r="M25" i="1"/>
  <c r="L25" i="1"/>
  <c r="T24" i="1"/>
  <c r="S24" i="1"/>
  <c r="S1713" i="1" s="1"/>
  <c r="R24" i="1"/>
  <c r="R1713" i="1" s="1"/>
  <c r="Q24" i="1"/>
  <c r="Q1713" i="1" s="1"/>
  <c r="P24" i="1"/>
  <c r="O24" i="1"/>
  <c r="N24" i="1"/>
  <c r="N1713" i="1" s="1"/>
  <c r="M24" i="1"/>
  <c r="L24" i="1"/>
  <c r="AA1643" i="1" l="1"/>
  <c r="Y1734" i="1"/>
  <c r="Y1736" i="1" s="1"/>
  <c r="Z1734" i="1"/>
  <c r="Z1736" i="1" s="1"/>
  <c r="AA1734" i="1"/>
  <c r="AA1736" i="1" s="1"/>
  <c r="W1725" i="1"/>
  <c r="W1681" i="1"/>
  <c r="W1726" i="1"/>
  <c r="W1682" i="1"/>
  <c r="W1687" i="1" s="1"/>
  <c r="Z1689" i="1"/>
  <c r="V1682" i="1"/>
  <c r="V1687" i="1" s="1"/>
  <c r="V1726" i="1"/>
  <c r="V1681" i="1"/>
  <c r="V1686" i="1" s="1"/>
  <c r="V1725" i="1"/>
  <c r="V1693" i="1"/>
  <c r="V1698" i="1" s="1"/>
  <c r="W1693" i="1"/>
  <c r="W1698" i="1" s="1"/>
  <c r="T1692" i="1"/>
  <c r="T1659" i="1"/>
  <c r="T1691" i="1"/>
  <c r="T1658" i="1"/>
  <c r="U1725" i="1"/>
  <c r="U1681" i="1"/>
  <c r="U1686" i="1" s="1"/>
  <c r="T1681" i="1"/>
  <c r="T1725" i="1"/>
  <c r="T1674" i="1"/>
  <c r="T1714" i="1"/>
  <c r="T1713" i="1"/>
  <c r="T1673" i="1"/>
  <c r="T1682" i="1"/>
  <c r="T1726" i="1"/>
  <c r="U1726" i="1"/>
  <c r="U1682" i="1"/>
  <c r="S1714" i="1"/>
  <c r="S1658" i="1"/>
  <c r="S1692" i="1"/>
  <c r="S1673" i="1"/>
  <c r="V1715" i="1"/>
  <c r="V1720" i="1" s="1"/>
  <c r="W1686" i="1"/>
  <c r="S112" i="1"/>
  <c r="S1725" i="1"/>
  <c r="S1681" i="1"/>
  <c r="T113" i="1"/>
  <c r="S113" i="1"/>
  <c r="S1726" i="1"/>
  <c r="S1682" i="1"/>
  <c r="T112" i="1"/>
  <c r="R1726" i="1"/>
  <c r="R1682" i="1"/>
  <c r="R1725" i="1"/>
  <c r="R1681" i="1"/>
  <c r="R1691" i="1"/>
  <c r="R1658" i="1"/>
  <c r="R1692" i="1"/>
  <c r="R1659" i="1"/>
  <c r="U1706" i="1"/>
  <c r="U1711" i="1" s="1"/>
  <c r="L1671" i="1"/>
  <c r="W1666" i="1"/>
  <c r="S1706" i="1"/>
  <c r="S1711" i="1" s="1"/>
  <c r="Q1725" i="1"/>
  <c r="L1702" i="1"/>
  <c r="L1706" i="1"/>
  <c r="L1711" i="1" s="1"/>
  <c r="U1671" i="1"/>
  <c r="Y1689" i="1"/>
  <c r="L1666" i="1"/>
  <c r="Z1656" i="1"/>
  <c r="Y1643" i="1"/>
  <c r="W1702" i="1"/>
  <c r="S1671" i="1"/>
  <c r="R1714" i="1"/>
  <c r="R1674" i="1"/>
  <c r="Q1659" i="1"/>
  <c r="Q1682" i="1"/>
  <c r="Q1726" i="1"/>
  <c r="Q1673" i="1"/>
  <c r="R1673" i="1"/>
  <c r="Q1674" i="1"/>
  <c r="Q1658" i="1"/>
  <c r="Q1681" i="1"/>
  <c r="N1666" i="1"/>
  <c r="M1671" i="1"/>
  <c r="W1671" i="1"/>
  <c r="N1725" i="1"/>
  <c r="R1666" i="1"/>
  <c r="S1702" i="1"/>
  <c r="U1702" i="1"/>
  <c r="R1671" i="1"/>
  <c r="N1726" i="1"/>
  <c r="S1666" i="1"/>
  <c r="U1666" i="1"/>
  <c r="P1713" i="1"/>
  <c r="P1673" i="1"/>
  <c r="P1714" i="1"/>
  <c r="P1674" i="1"/>
  <c r="Y1720" i="1"/>
  <c r="P1725" i="1"/>
  <c r="P1681" i="1"/>
  <c r="T1666" i="1"/>
  <c r="V1702" i="1"/>
  <c r="U1693" i="1"/>
  <c r="T1706" i="1"/>
  <c r="T1711" i="1" s="1"/>
  <c r="V1671" i="1"/>
  <c r="U1676" i="1"/>
  <c r="W1676" i="1"/>
  <c r="P1726" i="1"/>
  <c r="P1682" i="1"/>
  <c r="V1661" i="1"/>
  <c r="V1676" i="1"/>
  <c r="R1702" i="1"/>
  <c r="T1702" i="1"/>
  <c r="V1666" i="1"/>
  <c r="U1661" i="1"/>
  <c r="W1661" i="1"/>
  <c r="R1706" i="1"/>
  <c r="R1711" i="1" s="1"/>
  <c r="T1671" i="1"/>
  <c r="U1715" i="1"/>
  <c r="U1720" i="1" s="1"/>
  <c r="W1715" i="1"/>
  <c r="W1720" i="1" s="1"/>
  <c r="Q1666" i="1"/>
  <c r="Q1702" i="1"/>
  <c r="Q1671" i="1"/>
  <c r="Q1706" i="1"/>
  <c r="Q1711" i="1" s="1"/>
  <c r="P1691" i="1"/>
  <c r="P1692" i="1"/>
  <c r="O1713" i="1"/>
  <c r="O1673" i="1"/>
  <c r="O1714" i="1"/>
  <c r="O1674" i="1"/>
  <c r="O1691" i="1"/>
  <c r="O1661" i="1"/>
  <c r="O1692" i="1"/>
  <c r="N1715" i="1"/>
  <c r="N1720" i="1" s="1"/>
  <c r="N1723" i="1" s="1"/>
  <c r="P1702" i="1"/>
  <c r="M1706" i="1"/>
  <c r="M1711" i="1" s="1"/>
  <c r="O1706" i="1"/>
  <c r="O1711" i="1" s="1"/>
  <c r="W1711" i="1"/>
  <c r="V172" i="1"/>
  <c r="O1671" i="1"/>
  <c r="U172" i="1"/>
  <c r="N1671" i="1"/>
  <c r="W172" i="1"/>
  <c r="Y1656" i="1"/>
  <c r="AA1656" i="1"/>
  <c r="N1692" i="1"/>
  <c r="N1659" i="1"/>
  <c r="O1725" i="1"/>
  <c r="O1681" i="1"/>
  <c r="N1682" i="1"/>
  <c r="N1691" i="1"/>
  <c r="N1658" i="1"/>
  <c r="M1692" i="1"/>
  <c r="M1659" i="1"/>
  <c r="L1725" i="1"/>
  <c r="L1681" i="1"/>
  <c r="N1681" i="1"/>
  <c r="M1726" i="1"/>
  <c r="M1682" i="1"/>
  <c r="O1726" i="1"/>
  <c r="O1682" i="1"/>
  <c r="M1658" i="1"/>
  <c r="M1691" i="1"/>
  <c r="L1692" i="1"/>
  <c r="L1693" i="1" s="1"/>
  <c r="L1659" i="1"/>
  <c r="L1661" i="1" s="1"/>
  <c r="M1725" i="1"/>
  <c r="M1681" i="1"/>
  <c r="L1726" i="1"/>
  <c r="L1682" i="1"/>
  <c r="M1674" i="1"/>
  <c r="M1714" i="1"/>
  <c r="M1673" i="1"/>
  <c r="M1713" i="1"/>
  <c r="N1674" i="1"/>
  <c r="O1666" i="1"/>
  <c r="M1666" i="1"/>
  <c r="N1673" i="1"/>
  <c r="O1702" i="1"/>
  <c r="M1702" i="1"/>
  <c r="P1706" i="1"/>
  <c r="P1711" i="1" s="1"/>
  <c r="V1711" i="1"/>
  <c r="L1674" i="1"/>
  <c r="L1714" i="1"/>
  <c r="L1673" i="1"/>
  <c r="L1713" i="1"/>
  <c r="L34" i="1"/>
  <c r="N34" i="1"/>
  <c r="P34" i="1"/>
  <c r="P1642" i="1" s="1"/>
  <c r="P1654" i="1" s="1"/>
  <c r="R34" i="1"/>
  <c r="R1642" i="1" s="1"/>
  <c r="T34" i="1"/>
  <c r="V113" i="1"/>
  <c r="V1642" i="1" s="1"/>
  <c r="W112" i="1"/>
  <c r="W1641" i="1" s="1"/>
  <c r="U112" i="1"/>
  <c r="U1641" i="1" s="1"/>
  <c r="M34" i="1"/>
  <c r="O34" i="1"/>
  <c r="Q34" i="1"/>
  <c r="S34" i="1"/>
  <c r="W1642" i="1"/>
  <c r="U113" i="1"/>
  <c r="U1642" i="1" s="1"/>
  <c r="V112" i="1"/>
  <c r="V1641" i="1" s="1"/>
  <c r="P33" i="1"/>
  <c r="P1641" i="1" s="1"/>
  <c r="M33" i="1"/>
  <c r="O33" i="1"/>
  <c r="Q33" i="1"/>
  <c r="S33" i="1"/>
  <c r="N33" i="1"/>
  <c r="N1641" i="1" s="1"/>
  <c r="R33" i="1"/>
  <c r="R1641" i="1" s="1"/>
  <c r="R1653" i="1" s="1"/>
  <c r="T33" i="1"/>
  <c r="Q114" i="1"/>
  <c r="L172" i="1"/>
  <c r="K172" i="1"/>
  <c r="T172" i="1"/>
  <c r="P172" i="1"/>
  <c r="S172" i="1"/>
  <c r="O172" i="1"/>
  <c r="R172" i="1"/>
  <c r="N172" i="1"/>
  <c r="Q172" i="1"/>
  <c r="M172" i="1"/>
  <c r="W111" i="1"/>
  <c r="U111" i="1"/>
  <c r="S111" i="1"/>
  <c r="Q111" i="1"/>
  <c r="O111" i="1"/>
  <c r="O114" i="1"/>
  <c r="M114" i="1"/>
  <c r="V111" i="1"/>
  <c r="T111" i="1"/>
  <c r="R111" i="1"/>
  <c r="P111" i="1"/>
  <c r="K17" i="1"/>
  <c r="K90" i="1"/>
  <c r="L72" i="1"/>
  <c r="N72" i="1"/>
  <c r="P72" i="1"/>
  <c r="R72" i="1"/>
  <c r="T72" i="1"/>
  <c r="N111" i="1"/>
  <c r="K33" i="1"/>
  <c r="L90" i="1"/>
  <c r="N90" i="1"/>
  <c r="P90" i="1"/>
  <c r="R90" i="1"/>
  <c r="K72" i="1"/>
  <c r="M72" i="1"/>
  <c r="O72" i="1"/>
  <c r="Q72" i="1"/>
  <c r="S72" i="1"/>
  <c r="M111" i="1"/>
  <c r="M90" i="1"/>
  <c r="O90" i="1"/>
  <c r="Q90" i="1"/>
  <c r="P114" i="1"/>
  <c r="R114" i="1"/>
  <c r="K111" i="1"/>
  <c r="M17" i="1"/>
  <c r="O17" i="1"/>
  <c r="Q17" i="1"/>
  <c r="S17" i="1"/>
  <c r="M32" i="1"/>
  <c r="O32" i="1"/>
  <c r="Q32" i="1"/>
  <c r="S32" i="1"/>
  <c r="K26" i="1"/>
  <c r="K34" i="1"/>
  <c r="N17" i="1"/>
  <c r="P17" i="1"/>
  <c r="R17" i="1"/>
  <c r="T17" i="1"/>
  <c r="L32" i="1"/>
  <c r="N32" i="1"/>
  <c r="P32" i="1"/>
  <c r="R32" i="1"/>
  <c r="T32" i="1"/>
  <c r="T26" i="1"/>
  <c r="R26" i="1"/>
  <c r="P26" i="1"/>
  <c r="N26" i="1"/>
  <c r="S26" i="1"/>
  <c r="Q26" i="1"/>
  <c r="O26" i="1"/>
  <c r="M26" i="1"/>
  <c r="L17" i="1"/>
  <c r="L26" i="1"/>
  <c r="K32" i="1"/>
  <c r="L33" i="1"/>
  <c r="L1641" i="1" s="1"/>
  <c r="O1727" i="1" l="1"/>
  <c r="O1732" i="1" s="1"/>
  <c r="T114" i="1"/>
  <c r="T1642" i="1"/>
  <c r="T1654" i="1" s="1"/>
  <c r="T1641" i="1"/>
  <c r="T1653" i="1" s="1"/>
  <c r="T1686" i="1"/>
  <c r="S114" i="1"/>
  <c r="S1642" i="1"/>
  <c r="S1654" i="1" s="1"/>
  <c r="S1641" i="1"/>
  <c r="S1653" i="1" s="1"/>
  <c r="W1689" i="1"/>
  <c r="T1693" i="1"/>
  <c r="T1698" i="1" s="1"/>
  <c r="R1661" i="1"/>
  <c r="U1684" i="1"/>
  <c r="U1643" i="1"/>
  <c r="M1727" i="1"/>
  <c r="M1732" i="1" s="1"/>
  <c r="W1684" i="1"/>
  <c r="T1676" i="1"/>
  <c r="T1684" i="1"/>
  <c r="R1684" i="1"/>
  <c r="P1676" i="1"/>
  <c r="P1679" i="1" s="1"/>
  <c r="O1693" i="1"/>
  <c r="O1698" i="1" s="1"/>
  <c r="P1715" i="1"/>
  <c r="P1720" i="1" s="1"/>
  <c r="P1723" i="1" s="1"/>
  <c r="R1676" i="1"/>
  <c r="W1643" i="1"/>
  <c r="P1687" i="1"/>
  <c r="Q1676" i="1"/>
  <c r="Q1642" i="1"/>
  <c r="Q1654" i="1" s="1"/>
  <c r="Q1641" i="1"/>
  <c r="Q1653" i="1" s="1"/>
  <c r="V1653" i="1"/>
  <c r="P1727" i="1"/>
  <c r="P1732" i="1" s="1"/>
  <c r="T1715" i="1"/>
  <c r="T1720" i="1" s="1"/>
  <c r="L1684" i="1"/>
  <c r="P1686" i="1"/>
  <c r="N1727" i="1"/>
  <c r="N1732" i="1" s="1"/>
  <c r="T1727" i="1"/>
  <c r="T1732" i="1" s="1"/>
  <c r="R1727" i="1"/>
  <c r="R1732" i="1" s="1"/>
  <c r="R1693" i="1"/>
  <c r="R1698" i="1" s="1"/>
  <c r="L1727" i="1"/>
  <c r="L1732" i="1" s="1"/>
  <c r="T1661" i="1"/>
  <c r="M1693" i="1"/>
  <c r="M1698" i="1" s="1"/>
  <c r="U1687" i="1"/>
  <c r="U1689" i="1" s="1"/>
  <c r="Q1715" i="1"/>
  <c r="Q1720" i="1" s="1"/>
  <c r="U1727" i="1"/>
  <c r="U1732" i="1" s="1"/>
  <c r="W1727" i="1"/>
  <c r="W1732" i="1" s="1"/>
  <c r="P1684" i="1"/>
  <c r="V1689" i="1"/>
  <c r="V1654" i="1"/>
  <c r="U1698" i="1"/>
  <c r="V1684" i="1"/>
  <c r="S1727" i="1"/>
  <c r="S1732" i="1" s="1"/>
  <c r="S1661" i="1"/>
  <c r="R1715" i="1"/>
  <c r="R1720" i="1" s="1"/>
  <c r="S1676" i="1"/>
  <c r="V1727" i="1"/>
  <c r="V1732" i="1" s="1"/>
  <c r="S1684" i="1"/>
  <c r="S1693" i="1"/>
  <c r="S1698" i="1" s="1"/>
  <c r="S1715" i="1"/>
  <c r="R1654" i="1"/>
  <c r="Q1687" i="1"/>
  <c r="Q1661" i="1"/>
  <c r="Q1684" i="1"/>
  <c r="Q1686" i="1"/>
  <c r="Q1727" i="1"/>
  <c r="Q1732" i="1" s="1"/>
  <c r="Q1693" i="1"/>
  <c r="P1653" i="1"/>
  <c r="P1656" i="1" s="1"/>
  <c r="P1693" i="1"/>
  <c r="P1661" i="1"/>
  <c r="O1641" i="1"/>
  <c r="O1653" i="1" s="1"/>
  <c r="O1642" i="1"/>
  <c r="O1654" i="1" s="1"/>
  <c r="M1676" i="1"/>
  <c r="O1684" i="1"/>
  <c r="O1687" i="1"/>
  <c r="O1715" i="1"/>
  <c r="O1720" i="1" s="1"/>
  <c r="O1723" i="1" s="1"/>
  <c r="W114" i="1"/>
  <c r="M1684" i="1"/>
  <c r="R1687" i="1"/>
  <c r="N1661" i="1"/>
  <c r="O1676" i="1"/>
  <c r="O1679" i="1" s="1"/>
  <c r="N1686" i="1"/>
  <c r="U114" i="1"/>
  <c r="M1686" i="1"/>
  <c r="L1686" i="1"/>
  <c r="W1653" i="1"/>
  <c r="M1641" i="1"/>
  <c r="M1653" i="1" s="1"/>
  <c r="M1642" i="1"/>
  <c r="M1654" i="1" s="1"/>
  <c r="N1676" i="1"/>
  <c r="N1679" i="1" s="1"/>
  <c r="T1687" i="1"/>
  <c r="N1653" i="1"/>
  <c r="U1653" i="1"/>
  <c r="L1642" i="1"/>
  <c r="L1654" i="1" s="1"/>
  <c r="N1642" i="1"/>
  <c r="N1654" i="1" s="1"/>
  <c r="S1686" i="1"/>
  <c r="N1687" i="1"/>
  <c r="O1686" i="1"/>
  <c r="M1687" i="1"/>
  <c r="N35" i="1"/>
  <c r="O35" i="1"/>
  <c r="P35" i="1"/>
  <c r="S35" i="1"/>
  <c r="S78" i="1" s="1"/>
  <c r="V114" i="1"/>
  <c r="N1684" i="1"/>
  <c r="L1676" i="1"/>
  <c r="S1687" i="1"/>
  <c r="L1687" i="1"/>
  <c r="R1686" i="1"/>
  <c r="L35" i="1"/>
  <c r="L78" i="1" s="1"/>
  <c r="T35" i="1"/>
  <c r="T78" i="1" s="1"/>
  <c r="N1693" i="1"/>
  <c r="M1715" i="1"/>
  <c r="M1720" i="1" s="1"/>
  <c r="L1698" i="1"/>
  <c r="L1715" i="1"/>
  <c r="L1720" i="1" s="1"/>
  <c r="M1661" i="1"/>
  <c r="U1654" i="1"/>
  <c r="W1654" i="1"/>
  <c r="R35" i="1"/>
  <c r="R78" i="1" s="1"/>
  <c r="Q35" i="1"/>
  <c r="M35" i="1"/>
  <c r="P1643" i="1"/>
  <c r="N114" i="1"/>
  <c r="K35" i="1"/>
  <c r="P78" i="1"/>
  <c r="O78" i="1"/>
  <c r="N78" i="1"/>
  <c r="Q78" i="1"/>
  <c r="M78" i="1"/>
  <c r="L114" i="1"/>
  <c r="K114" i="1"/>
  <c r="K1643" i="1" l="1"/>
  <c r="S1643" i="1"/>
  <c r="T1643" i="1"/>
  <c r="P1689" i="1"/>
  <c r="W1734" i="1"/>
  <c r="W1736" i="1" s="1"/>
  <c r="Q1643" i="1"/>
  <c r="Q1656" i="1"/>
  <c r="S1656" i="1"/>
  <c r="V1643" i="1"/>
  <c r="R1643" i="1"/>
  <c r="V1656" i="1"/>
  <c r="S1720" i="1"/>
  <c r="S1734" i="1"/>
  <c r="S1736" i="1" s="1"/>
  <c r="R1656" i="1"/>
  <c r="N1734" i="1"/>
  <c r="N1736" i="1" s="1"/>
  <c r="O1734" i="1"/>
  <c r="O1736" i="1" s="1"/>
  <c r="T1689" i="1"/>
  <c r="U1734" i="1"/>
  <c r="U1736" i="1" s="1"/>
  <c r="Q1689" i="1"/>
  <c r="O1643" i="1"/>
  <c r="O1656" i="1"/>
  <c r="P1734" i="1"/>
  <c r="P1736" i="1" s="1"/>
  <c r="R1734" i="1"/>
  <c r="R1736" i="1" s="1"/>
  <c r="Q1734" i="1"/>
  <c r="Q1736" i="1" s="1"/>
  <c r="Q1698" i="1"/>
  <c r="V1734" i="1"/>
  <c r="V1736" i="1" s="1"/>
  <c r="T1734" i="1"/>
  <c r="T1736" i="1" s="1"/>
  <c r="O1689" i="1"/>
  <c r="T1656" i="1"/>
  <c r="R1689" i="1"/>
  <c r="L1689" i="1"/>
  <c r="N1656" i="1"/>
  <c r="M1656" i="1"/>
  <c r="N1689" i="1"/>
  <c r="M1643" i="1"/>
  <c r="N1643" i="1"/>
  <c r="S1689" i="1"/>
  <c r="M1689" i="1"/>
  <c r="W1656" i="1"/>
  <c r="U1656" i="1"/>
  <c r="L1734" i="1"/>
  <c r="L1736" i="1" s="1"/>
  <c r="N1698" i="1"/>
  <c r="P1698" i="1"/>
  <c r="M1734" i="1"/>
  <c r="M1736" i="1" s="1"/>
  <c r="L1643" i="1"/>
  <c r="L1653" i="1"/>
  <c r="L1656" i="1" s="1"/>
  <c r="K78" i="1"/>
</calcChain>
</file>

<file path=xl/sharedStrings.xml><?xml version="1.0" encoding="utf-8"?>
<sst xmlns="http://schemas.openxmlformats.org/spreadsheetml/2006/main" count="8060" uniqueCount="1393">
  <si>
    <t>S</t>
  </si>
  <si>
    <t>Principal</t>
  </si>
  <si>
    <t>Interest</t>
  </si>
  <si>
    <t>G</t>
  </si>
  <si>
    <t>W</t>
  </si>
  <si>
    <t>Total</t>
  </si>
  <si>
    <t>Sub Total</t>
  </si>
  <si>
    <t>Water Enterprise Fund Totals</t>
  </si>
  <si>
    <t>3/15/2001 GOB</t>
  </si>
  <si>
    <t>Water Mains - Mendon Road</t>
  </si>
  <si>
    <t>Land Acquisition - LeStage Property</t>
  </si>
  <si>
    <t>END</t>
  </si>
  <si>
    <t>Inside</t>
  </si>
  <si>
    <t>Outside</t>
  </si>
  <si>
    <t>Sewer</t>
  </si>
  <si>
    <t>Other Inside</t>
  </si>
  <si>
    <t>Water</t>
  </si>
  <si>
    <t>School - All Other</t>
  </si>
  <si>
    <t>Computer Hardware - School</t>
  </si>
  <si>
    <t>ENDED 2010</t>
  </si>
  <si>
    <t>ENDED 2005</t>
  </si>
  <si>
    <t>Computer Software - School</t>
  </si>
  <si>
    <t>Other Outside - Title V</t>
  </si>
  <si>
    <t>ENDED 2004</t>
  </si>
  <si>
    <t>L</t>
  </si>
  <si>
    <t>2/15/2003 GOB</t>
  </si>
  <si>
    <t>Water Mains - General Replacement</t>
  </si>
  <si>
    <t>Water Mains - Pasture Brook</t>
  </si>
  <si>
    <t>Waste Water Treatment Facility - Building</t>
  </si>
  <si>
    <t>Waste Water Treatment Facility - Roof Repair</t>
  </si>
  <si>
    <t>Landfill - Closure</t>
  </si>
  <si>
    <t>Solid Waste</t>
  </si>
  <si>
    <t>General Govt. Totals</t>
  </si>
  <si>
    <t>Sewer Enterprise Fund Totals</t>
  </si>
  <si>
    <t>Landfill Enterprise Fund Totals</t>
  </si>
  <si>
    <t>Community School Windows - Remodeling</t>
  </si>
  <si>
    <t>High School Roof - Remodeling</t>
  </si>
  <si>
    <t>Sewer Betterment - Maple St.</t>
  </si>
  <si>
    <t>Sewer - Lake Como</t>
  </si>
  <si>
    <t>Sewer Betterment - Lindsey Acres</t>
  </si>
  <si>
    <t>Buildings</t>
  </si>
  <si>
    <t>Police Facility - Remodeling</t>
  </si>
  <si>
    <t>DEBT EXCLUSION</t>
  </si>
  <si>
    <t>ENDED 2011</t>
  </si>
  <si>
    <t>E</t>
  </si>
  <si>
    <t>Electric Enterprise Fund Totals</t>
  </si>
  <si>
    <t>Gas/Electric</t>
  </si>
  <si>
    <t>School Portable Buildings - REFUNDING</t>
  </si>
  <si>
    <t>Sewer Various - REFUNDING</t>
  </si>
  <si>
    <t>Pumping Station - Water Non-Enterprise - REFUNDING</t>
  </si>
  <si>
    <t>Water Mains - Water Non-Enterprise - REFUNDING</t>
  </si>
  <si>
    <t>Water - Plain St. - REFUNDING</t>
  </si>
  <si>
    <t>ENDED 2008</t>
  </si>
  <si>
    <t>8/15/2003 GOB</t>
  </si>
  <si>
    <t>Sewer Phase 1 - Sewer Non-Enterprise - REFUNDING</t>
  </si>
  <si>
    <t>Sewer Interceptor - Sewer Non-Enterprise - REFUNDING</t>
  </si>
  <si>
    <t>Electric - REFUNDING</t>
  </si>
  <si>
    <t>ENDED 2009</t>
  </si>
  <si>
    <t>Library - Remodeling - REFUNDING</t>
  </si>
  <si>
    <t>Allen Ave. Fire Station - REFUNDING</t>
  </si>
  <si>
    <t>Land Acquisition - Conservation - REFUNDING</t>
  </si>
  <si>
    <t>ENDED 2007</t>
  </si>
  <si>
    <t>Monitor Wells - Landfill - REFUNDING</t>
  </si>
  <si>
    <t>Sewer Phase 1 (In) - Sewer Non-Enterprise - REFUNDING</t>
  </si>
  <si>
    <t>3/1/2004 GOB</t>
  </si>
  <si>
    <t>Sewer Construction - REFUNDING</t>
  </si>
  <si>
    <t>Martin School Project - REFUNDING</t>
  </si>
  <si>
    <t>Septic System Repair/Betterment - REFUNDING</t>
  </si>
  <si>
    <t>Middle School Project - REFUNDING</t>
  </si>
  <si>
    <t>Electric Expansion - REFUNDING</t>
  </si>
  <si>
    <t>Water Mains - Mt. Hope &amp; Old Post Rd. - REFUNDING</t>
  </si>
  <si>
    <t>Jr. High School Project - REFUNDING</t>
  </si>
  <si>
    <t>Middle School Project Supplement - REFUNDING</t>
  </si>
  <si>
    <t>Sewer - Stone Hill Rd. - REFUNDING</t>
  </si>
  <si>
    <t>Sewer - Oak Crest Dr. - REFUNDING</t>
  </si>
  <si>
    <t>Sewer - Broadway - REFUNDING</t>
  </si>
  <si>
    <t>Sewer - Reservoir St. - REFUNDING</t>
  </si>
  <si>
    <t>Sewer - Glenfield Rd. - REFUNDING</t>
  </si>
  <si>
    <t>Sewer - Bayberry Rd. &amp; High St. - REFUNDING</t>
  </si>
  <si>
    <t>Sewer - Oak St. - REFUNDING</t>
  </si>
  <si>
    <t>Sewer Replacement (2) - REFUNDING</t>
  </si>
  <si>
    <t>Sewer Replacement (1) - REFUNDING</t>
  </si>
  <si>
    <t>Outdoor Rec. Facility - Ruth Rhind Ball Field - REFUNDING</t>
  </si>
  <si>
    <t>Outdoor Rec. Facility - WWII Pool Renov. - REFUNDING</t>
  </si>
  <si>
    <t>Outdoor Rec. Facility - High School Track - REFUNDING</t>
  </si>
  <si>
    <t>Sewer - Eddy St. - REFUNDING</t>
  </si>
  <si>
    <t>Waste Water Treatment Facility - Upgrade</t>
  </si>
  <si>
    <t>3/15/2006 GOB</t>
  </si>
  <si>
    <t>High School Chiller Unit - Replacement</t>
  </si>
  <si>
    <t>10/15/2006 GOB</t>
  </si>
  <si>
    <t>DPW Highway Garage - Remodeling</t>
  </si>
  <si>
    <t>Community School &amp; Woodcock Bldg. - Remodeling - REFUNDING</t>
  </si>
  <si>
    <t>School  - Remodeling - REFUNDING</t>
  </si>
  <si>
    <t>Amvet School Roof - Remodeling</t>
  </si>
  <si>
    <t>Roosevelt School Roof - Remodeling</t>
  </si>
  <si>
    <t>SB</t>
  </si>
  <si>
    <t>I</t>
  </si>
  <si>
    <t>O</t>
  </si>
  <si>
    <t>SA</t>
  </si>
  <si>
    <t>OI</t>
  </si>
  <si>
    <t>OO</t>
  </si>
  <si>
    <t>B</t>
  </si>
  <si>
    <t>DE</t>
  </si>
  <si>
    <t>SW</t>
  </si>
  <si>
    <t>GE</t>
  </si>
  <si>
    <t>DPW Smith St. Roof - Remodeling</t>
  </si>
  <si>
    <t>Sewer - Oakridge Ave.</t>
  </si>
  <si>
    <t>Water Mains - Sheldonville Rd.</t>
  </si>
  <si>
    <t>10/15/2007 GOB</t>
  </si>
  <si>
    <t>Community School Masonry - Remodeling</t>
  </si>
  <si>
    <t>Whiting St. Building - Remodeling - REFUNDING</t>
  </si>
  <si>
    <t>Waste Water Treatment Facility Roof - Remodeling</t>
  </si>
  <si>
    <t>Comprehensive Wastewater Management Plan (CWMP)</t>
  </si>
  <si>
    <t>Sewer - Inflow and Infiltration (I&amp;I)</t>
  </si>
  <si>
    <t>6/15/2009 GOB</t>
  </si>
  <si>
    <t>Fire Doors - School - Remodeling</t>
  </si>
  <si>
    <t>Locking Systems - School - Upgrade &amp; Installation - Remodeling</t>
  </si>
  <si>
    <t>High School Gym Floor - Remodeling</t>
  </si>
  <si>
    <t>Door Project - School - Remodeling</t>
  </si>
  <si>
    <t>5/19/2008 ATM Art. 10 part 3 #44 $51,000 auth.</t>
  </si>
  <si>
    <t>Hazardous Material Removal - School - Remodeling</t>
  </si>
  <si>
    <t>EMS Data Collection Software - Fire</t>
  </si>
  <si>
    <t>Sewer Betterment - Towne St.</t>
  </si>
  <si>
    <t>Waste Water Treatment Facility - Roof</t>
  </si>
  <si>
    <t>Equipment - Water Filter Media Replacement</t>
  </si>
  <si>
    <t>Water Mains - Hoppin Hill Ave.</t>
  </si>
  <si>
    <t>12/15/2010 GOB</t>
  </si>
  <si>
    <t>High School Dishwasher - Replacement</t>
  </si>
  <si>
    <t>Hazardous Abatements - School - Remodeling</t>
  </si>
  <si>
    <t>District Technology Plan - School</t>
  </si>
  <si>
    <t>6/7/2010 ATM Art. 6 part 3 #30 $215,000 auth.</t>
  </si>
  <si>
    <t>Martin School Roof - Remodeling</t>
  </si>
  <si>
    <t>District Wide Building Security - School - Remodeling</t>
  </si>
  <si>
    <t>5/19/2008 ATM Art. 10 part 3 #31 $405,000 auth.</t>
  </si>
  <si>
    <t>5/19/2008 ATM Art. 10 part 3 #34 $39,000 auth.</t>
  </si>
  <si>
    <t>5/19/2008 ATM Art. 10 part 3 #35 $41,000 auth.</t>
  </si>
  <si>
    <t>6/7/2010 ATM Art. 6 part 3 #23 $500,000 auth.</t>
  </si>
  <si>
    <t>6/1/2009 ATM Art. 6 part 3 #31 $81,000 auth.</t>
  </si>
  <si>
    <t>Network Switch Replacement - Computer Hardware</t>
  </si>
  <si>
    <t>Ambulance - Fire</t>
  </si>
  <si>
    <t>6/1/2009 ATM Art. 6 part 3 #24 $25,000 auth.</t>
  </si>
  <si>
    <t>12 Lead Heart Monitor &amp; Defribrillator - Fire</t>
  </si>
  <si>
    <t>6/7/2010 ATM Art. 6 part 3 #17 $30,000 auth.</t>
  </si>
  <si>
    <t>Body Armor (Bullet Proof Vests) - Police</t>
  </si>
  <si>
    <t>6/1/2009 ATM Art. 6 part 3 #26 $43,000 auth.</t>
  </si>
  <si>
    <t>6/7/2010 ATM Art. 6 part 3 #29 $50,000 auth.</t>
  </si>
  <si>
    <t>Heating System Upgrade Station 1 - Fire - Remodeling</t>
  </si>
  <si>
    <t>6/7/2010 ATM Art. 6 part 3 #26 $52,200 auth.</t>
  </si>
  <si>
    <t>6/1/2009 ATM Art. 6 part 3 #56 $337,500 auth.</t>
  </si>
  <si>
    <t>Adamsdale Well Expansion - Remodeling</t>
  </si>
  <si>
    <t>6/1/2009 ATM Art. 6 part 3 #57 $80,000 auth.</t>
  </si>
  <si>
    <t>6/1/2009 ATM Art. 6 part 3 #58 $750,000 auth.</t>
  </si>
  <si>
    <t>Equipment - Fixed Water Meter System Replacement (AMR - Automated Meter Reading system)</t>
  </si>
  <si>
    <t>11/15/2011 GOB</t>
  </si>
  <si>
    <t>Falls School Windows &amp; Doors - Remodeling</t>
  </si>
  <si>
    <t>6/7/2010 ATM Art. 6 part 3 #32 $86,629 auth.</t>
  </si>
  <si>
    <t>6/7/2010 ATM Art. 6 part 3 #19 $98,835 auth.</t>
  </si>
  <si>
    <t>Fire Alarm Box Replacement Town-wide</t>
  </si>
  <si>
    <t>6/6/2011 STM Art. 4 $150,000 auth.</t>
  </si>
  <si>
    <t>6/6/2011 ATM Art. 6 part 3 #19 $185,000 auth.</t>
  </si>
  <si>
    <t>Dept. Equip.</t>
  </si>
  <si>
    <t>School Bldg.</t>
  </si>
  <si>
    <t>Fire Alarm Systems Upgrade - School - Remodeling</t>
  </si>
  <si>
    <t>6/7/2010 ATM Art. 6 part 3 #20 $81,517 auth.</t>
  </si>
  <si>
    <t>Heating - Town Hall - Remodeling</t>
  </si>
  <si>
    <t>Outdoor Rec. Facility - High School Track Resurfacing</t>
  </si>
  <si>
    <t>6/7/2010 ATM Art. 6 part 3 #39 $500,000 auth.</t>
  </si>
  <si>
    <t>6/1/2009 ATM Art. 6 part 3 #27 $65,000 auth.</t>
  </si>
  <si>
    <t>Martin School Telephone/Intercom System - Replacement</t>
  </si>
  <si>
    <t>5/19/2008 ATM Art. 10 part 3 #41 $83,000 auth.</t>
  </si>
  <si>
    <t>5/19/2008 ATM Art. 10 part 3 #40 $160,000 auth. 1 of 2</t>
  </si>
  <si>
    <t>5/19/2008 ATM Art. 10 part 3 #40 $160,000 auth. 2 of 2</t>
  </si>
  <si>
    <t>5/19/2008 ATM Art. 10 part 3 #39 $260,000 auth.</t>
  </si>
  <si>
    <t>5/19/2008 ATM Art. 10 part 3 #38 $32,000 auth.</t>
  </si>
  <si>
    <t>$250,000 original plus $50,000 supplement</t>
  </si>
  <si>
    <t>10/19/2009 SATM Art. 6 supplement to 6/1/2009 ATM Art. 6 part 3 #34 $300,000 auth.</t>
  </si>
  <si>
    <t>3/29/2010 STM Art. 9 $1,730,000 auth.</t>
  </si>
  <si>
    <t>DPW Highway Garage Doors (6) - Remodeling</t>
  </si>
  <si>
    <t>DPW Highway Garage Roof &amp; Renovations - Remodeling</t>
  </si>
  <si>
    <t>part of DPW Highway Garage Doors (6)</t>
  </si>
  <si>
    <t>part of DPW Highway Garage Roof &amp; Renovations</t>
  </si>
  <si>
    <t>6/1/2009 ATM Art. 6 part 3 #32 $500,000 auth. 1 of 2</t>
  </si>
  <si>
    <t>6/1/2009 ATM Art. 6 part 3 #32 $500,000 auth. 2 of 2</t>
  </si>
  <si>
    <t>Chiller Replacement - HVAC - Town Hall - Remodeling</t>
  </si>
  <si>
    <t>5/21/2007 ATM Art. 6 part 3b #51 $50,000 auth.</t>
  </si>
  <si>
    <t>5/19/2008 ATM Art. 10 part 3 #30 $109,000 auth.</t>
  </si>
  <si>
    <t>Whiting St. Administration Building Rehab. - Remodeling</t>
  </si>
  <si>
    <t>5/19/2008 STM Art. 16 supplement to 5/15/2006 ATM Art. 33 $395,000 auth.</t>
  </si>
  <si>
    <t>$963,000 original plus $395,000 supplement plus $74,000 supplement</t>
  </si>
  <si>
    <t>Whiting St. Administration Building Rehab. - Remodeling - Supplement 1</t>
  </si>
  <si>
    <t>Whiting St. Administration Building Rehab. - Remodeling - Supplement 2</t>
  </si>
  <si>
    <t>1/5/2009 STM Art. 13 $225,000 auth.</t>
  </si>
  <si>
    <t>5/21/2007 ATM Art. 6 part 3b #78 $95,000 auth.</t>
  </si>
  <si>
    <t>5/21/2007 ATM Art. 6 part 3a #47 $125,000 auth.</t>
  </si>
  <si>
    <t>5/21/2007 ATM Art. 6 part 3a #55 $55,000 auth.</t>
  </si>
  <si>
    <t>5/21/2007 ATM Art. 6 part 3a #57 $316,000 auth.</t>
  </si>
  <si>
    <t>5/21/2007 ATM Art. 6 part 3a #58 $70,000 auth.</t>
  </si>
  <si>
    <t>5/15/2006 ATM Art. 7 part 3 #41 $32,000 auth.</t>
  </si>
  <si>
    <t>Centralized Data Storage &amp; Backup - Computer Hardware</t>
  </si>
  <si>
    <t>5/15/2006 ATM Art. 7 part 3 #44 $40,000 auth.</t>
  </si>
  <si>
    <t>5/15/2006 ATM Art. 7 part 3 #45 $54,000 auth.</t>
  </si>
  <si>
    <t>5/16/2005 ATM Art. 17 part 3 #23 $250,000 auth.</t>
  </si>
  <si>
    <t>Various Vehicles - BPW</t>
  </si>
  <si>
    <t>Underground Diesel Tank - BPW</t>
  </si>
  <si>
    <t>Sander/Salter Mounted Unit (4) - Highway - BPW</t>
  </si>
  <si>
    <t>Parking Lot Paving - Various - BPW</t>
  </si>
  <si>
    <t>Failed Roads Reconstruction - BPW</t>
  </si>
  <si>
    <t>Fisher St. Bridge &amp; Culvert Management Plan - BPW</t>
  </si>
  <si>
    <t>Maintenance &amp; Repair Roads &amp; Sidewalks &amp; New Sidewalks - BPW</t>
  </si>
  <si>
    <t>Maintenance &amp; Repair Roads, Bridges, &amp; Sidewalks - BPW</t>
  </si>
  <si>
    <t>Sweeper - Highway - BPW</t>
  </si>
  <si>
    <t>5/16/2005 ATM Art. 17 part 3 #31 $125,000 auth.</t>
  </si>
  <si>
    <t>5/16/2005 ATM Art. 17 part 3 #32 $90,000 auth.</t>
  </si>
  <si>
    <t>Paving - Various Sidewalk Repair Projects - BPW</t>
  </si>
  <si>
    <t>5/16/2005 ATM Art. 17 part 3 #33 $233,000 auth.</t>
  </si>
  <si>
    <t>5/17/2004 ATM Art. 4 part 3 #23 $150,000 auth.</t>
  </si>
  <si>
    <t>5/19/2003 ATM Art. 6 part 3 #22 $1,200,000 auth.</t>
  </si>
  <si>
    <t>Integrated Financial Management Software Packages &amp; Support - Computer Software - Town</t>
  </si>
  <si>
    <t>6/18/2007 STM Art. 26 $74,500 auth.</t>
  </si>
  <si>
    <t>Vehicle #18 Retrofit - Highway - BPW</t>
  </si>
  <si>
    <t>5/21/2007 ATM Art. 15 $52,500 auth.</t>
  </si>
  <si>
    <t>5/15/2006 ATM Art. 31 $50,000 auth.</t>
  </si>
  <si>
    <t>Fire Safety Projects - School</t>
  </si>
  <si>
    <t>6/6/2005 STM Art. 14 $114,000 auth.</t>
  </si>
  <si>
    <t>10/18/2004 SATM Art. 23 $180,000 auth.</t>
  </si>
  <si>
    <t>Falls Pumping Station - Upgrade</t>
  </si>
  <si>
    <t>5/17/2004 ATM Art. 4 part 3 #27 $55,000 auth.</t>
  </si>
  <si>
    <t>Falls School Roof - Repair/Replacement - Remodeling</t>
  </si>
  <si>
    <t>5/17/2004 ATM Art. 4 part 3 #29 $110,000 auth.</t>
  </si>
  <si>
    <t>Engine 5 Pumper Replacement - Fire</t>
  </si>
  <si>
    <t>10/17/2005 SATM Art. 6 part 3 #19 $375,000 auth.</t>
  </si>
  <si>
    <t>Muni-Net (Fiber Net) - Series B</t>
  </si>
  <si>
    <t>$50,000 auth/unissued  RESCINDED - 5/15/2006 ATM Art. 18 $50,000</t>
  </si>
  <si>
    <t>$1,000 auth/unissued  RESCINDED - 5/15/2006 ATM Art. 18 $1,000</t>
  </si>
  <si>
    <t>6/6/2005 STM Art. 17 $56,500 auth.</t>
  </si>
  <si>
    <t>5/16/2005 ATM Art. 17 part 3 #29 $800,000 auth.</t>
  </si>
  <si>
    <t>5/15/2006 ATM Art. 7 part 3 #38 $115,000, #39 $47,000, and #43 $125,000 auth. = $287,000</t>
  </si>
  <si>
    <t>6/1/2009 ATM Art. 6 part 3 #33 $50,000 auth.</t>
  </si>
  <si>
    <t>6/7/2010 ATM Art. 6 part 3 #21 $127,319 auth.</t>
  </si>
  <si>
    <t>Boiler Replacement - Library</t>
  </si>
  <si>
    <t>AC System Replacement - Library</t>
  </si>
  <si>
    <t>High School Cooling Tower - Replacement</t>
  </si>
  <si>
    <t>6/7/2010 ATM Art. 6 part 3 #34 $215,000 auth.</t>
  </si>
  <si>
    <t>Animal Control Facility (Shelter) Addition and Renovation</t>
  </si>
  <si>
    <t>6/7/2010 ATM Art. 6 part 3 #35 $400,000 auth.</t>
  </si>
  <si>
    <t>High School Synchronized PA System</t>
  </si>
  <si>
    <t>6/6/2011 ATM Art. 6 part 3 #43 $1,000,000 auth.</t>
  </si>
  <si>
    <r>
      <t xml:space="preserve">6-Wheel Dump Truck, Skid Loader, Aerial Bucket Truck  </t>
    </r>
    <r>
      <rPr>
        <sz val="10"/>
        <color rgb="FF7030A0"/>
        <rFont val="Times New Roman"/>
        <family val="1"/>
      </rPr>
      <t>Reapprop. Proceeds of $10,886.30 &amp; $1,137.92 6/6/2011 ATM Art. 6 part 3 #20 &amp; #32</t>
    </r>
  </si>
  <si>
    <t>Reapprop. Proceeds of $10,655 6/6/2011 ATM Art. 6 part 3 #20 &amp; #32</t>
  </si>
  <si>
    <t>Reapprop. Proceeds of $2,913.50 6/6/2011 ATM Art. 6 part 3 #20 &amp; #32</t>
  </si>
  <si>
    <t>Reapprop. Proceeds of $19,257 6/6/2011 ATM Art. 6 part 3 #20 &amp; #32</t>
  </si>
  <si>
    <t>Reapprop. Proceeds of $1,110.30 6/6/2011 ATM Art. 6 part 3 #20 &amp; #32</t>
  </si>
  <si>
    <t>Reapprop. Proceeds of $4,049.20 6/6/2011 ATM Art. 6 part 3 #20 &amp; #32</t>
  </si>
  <si>
    <t>Sewer - Teaberry Ln. (Blackberry Rd., Cliffs Subdivision)</t>
  </si>
  <si>
    <t>Sewer - Dogwood Ln. (Blackberry Rd., Cliffs Subdivision)</t>
  </si>
  <si>
    <t>6/1/2009 ATM Art. 6 part 3 #29 $121,000 auth.</t>
  </si>
  <si>
    <t>$7,000 borrowed 6/1/2012 BAN</t>
  </si>
  <si>
    <t>44, 7(3)</t>
  </si>
  <si>
    <t>44, 7(9)</t>
  </si>
  <si>
    <t>44, 7(28)</t>
  </si>
  <si>
    <t>44, 7(29)</t>
  </si>
  <si>
    <t>10/16/2000 SATM Art. 18 $2,369,000 auth. ($69,000 project costs)</t>
  </si>
  <si>
    <t>4/26/1999 ATM Art. 6 part 3 #3 $287,000 auth. ($8,800 project costs)</t>
  </si>
  <si>
    <t>combined with Hardware</t>
  </si>
  <si>
    <t>combined with Software</t>
  </si>
  <si>
    <t>Waste Water Treatment Facility - Odor Control Building Rehab.</t>
  </si>
  <si>
    <t>44, 7(1)</t>
  </si>
  <si>
    <t>44, 8(5)</t>
  </si>
  <si>
    <t>111, 127B1/2</t>
  </si>
  <si>
    <t>44, 7(3A)</t>
  </si>
  <si>
    <t>10/21/2002 SATM Art. 11 $48,410 auth. (1,410 issuance costs)</t>
  </si>
  <si>
    <t>44, 8(15)</t>
  </si>
  <si>
    <t>10/18/1999 SATM Art. 7 part 3 #1 $576,800 auth. ($16,800 project costs)</t>
  </si>
  <si>
    <t>4/26/1999 ATM Art. 38 $443,000 auth. ($13,000 project costs)</t>
  </si>
  <si>
    <t>Waste Water Treatment Facility - Equipment Regrade/Replacement</t>
  </si>
  <si>
    <t>Fire Water Mains - Landry Ave.</t>
  </si>
  <si>
    <t>Fire Water Mains - Landry Ave. Supplement</t>
  </si>
  <si>
    <t>Equipment - High St. Tank Restoration</t>
  </si>
  <si>
    <t>44, 8(7C)</t>
  </si>
  <si>
    <t>Equipment - Elmwood St. Tank Restoration</t>
  </si>
  <si>
    <t>44, 7(14)</t>
  </si>
  <si>
    <t>44, 7(7)</t>
  </si>
  <si>
    <t>44, 8(8)</t>
  </si>
  <si>
    <t>44, 21A</t>
  </si>
  <si>
    <t>$179,520 auth/unissued  RESCINDED - 5/15/2006 ATM Art. 18 $168,000 + $11,520 = $179,520</t>
  </si>
  <si>
    <t>5/19/2003 ATM Art. 6 part 3 #25 $455,260 auth. ($13,260 issuance costs)</t>
  </si>
  <si>
    <t>MUNIS  RESCINDED - 5/21/2007 ATM Art. 8 $13,260</t>
  </si>
  <si>
    <t>4/22/2002 ATM Art. 6 part 3 #4 $1,212,000 auth.</t>
  </si>
  <si>
    <t>Waste Water Treatment Facility - Thickened Sludge Holding Tank</t>
  </si>
  <si>
    <t>Waste Water Treatment Facility - Phosphorous Removal (Phase I)</t>
  </si>
  <si>
    <t>Waste Water Treatment Facility - Phosphorous Removal (Phase II)</t>
  </si>
  <si>
    <t>Waste Water Treatment Facility - Phosphorus Removal (Phase III)</t>
  </si>
  <si>
    <t xml:space="preserve"> </t>
  </si>
  <si>
    <t>Waste Water Treatment Facility - Phosphorus Removal (Phase IV)</t>
  </si>
  <si>
    <t>12/6/2004 STM Art. 17 $89,600 auth. ($2,600 issuance costs)</t>
  </si>
  <si>
    <t>$60,378.82 auth/unissued  MSBA Grant $427,983.18  RESCINDED - 5/21/2007 ATM Art. 8 $60,378.82</t>
  </si>
  <si>
    <t>5/19/2003 ATM Art. 6 part 3 #26 $679,800 auth. ($19,800 project/issuance costs)</t>
  </si>
  <si>
    <t>$68,703.18 auth/unissued  MSBA Grant $230,573.82  RESCINDED - 5/21/2007 ATM Art. 8 $68,703.18</t>
  </si>
  <si>
    <r>
      <t>5/19/2003 ATM Art. 6 part 3 #30 $401,700 auth. ($11,700 project/issuance costs)</t>
    </r>
    <r>
      <rPr>
        <sz val="10"/>
        <color rgb="FF7030A0"/>
        <rFont val="Times New Roman"/>
        <family val="1"/>
      </rPr>
      <t/>
    </r>
  </si>
  <si>
    <t>$26,000 auth/unissued  RESCINDED - 3/29/2010 STM Art. 1 $26,000</t>
  </si>
  <si>
    <t>Reapprop. Proceeds of $47,984.91 4/25/2005 STM Art. 16</t>
  </si>
  <si>
    <t>44, 7(6)</t>
  </si>
  <si>
    <t>44, 7(21) (22)</t>
  </si>
  <si>
    <t>2/24/2003 STM Art. 8 $100,000 auth.</t>
  </si>
  <si>
    <t>Underground Diesel Storage Tank - BPW</t>
  </si>
  <si>
    <t>$20,685 auth/unissued  RESCINDED - 6/5/2006 ATM Art. 7 $20,685</t>
  </si>
  <si>
    <t>4/22/2002 ATM Art. 6 part 3 #3 $689,500 auth. ($20,685 issuance costs) 1 of 3  see 6/15/2009 GOB &amp; 12/15/2010 GOB</t>
  </si>
  <si>
    <t>5/15/2006 ATM Art. 33 $395,000 auth. 2 of 2 - Approx. 29%</t>
  </si>
  <si>
    <t>10/16/1995 SATM Art. 37 $204,000 auth. 1 of 3  Exempt from total Town Debt levy amount</t>
  </si>
  <si>
    <t>Septic Systems - Remediate Failed Residential Septic Systems - BOH - Betterment</t>
  </si>
  <si>
    <t>10/16/1995 SATM Art. 37 $204,000 auth. 3 of 3  Exempt from total Town Debt levy amount</t>
  </si>
  <si>
    <t>Waste Water Treatment Facility - Phosphorus Removal (Phase V)</t>
  </si>
  <si>
    <t>5/15/2006 ATM Art. 7 part 3 #63 $1,500,000 auth.</t>
  </si>
  <si>
    <t>5/15/2006 ATM Art. 7 part 3 #64 $290,000 auth. 2 of 2  see 10/15/2007 GOB</t>
  </si>
  <si>
    <t>5/15/2006 ATM Art. 7 part 3 #64 $290,000 auth. 1 of 2  see 6/15/2009 GOB</t>
  </si>
  <si>
    <t>Waste Water Treatment Facility - Phosphorus Removal (Phase VI)</t>
  </si>
  <si>
    <t>CW-01-27</t>
  </si>
  <si>
    <t>Sewer &amp; Manhole Rehab</t>
  </si>
  <si>
    <t>Landfill Enterprise</t>
  </si>
  <si>
    <t>CW-98-69A</t>
  </si>
  <si>
    <t>CW-98-69</t>
  </si>
  <si>
    <t>DW-99-23A</t>
  </si>
  <si>
    <t>Plainville Wells</t>
  </si>
  <si>
    <t>DW-99-23</t>
  </si>
  <si>
    <t>CW-04-32</t>
  </si>
  <si>
    <t>CW-02-41</t>
  </si>
  <si>
    <t>CW-03-24</t>
  </si>
  <si>
    <t>CW-06-36</t>
  </si>
  <si>
    <t>CW-05-33</t>
  </si>
  <si>
    <t>CW-03-33</t>
  </si>
  <si>
    <t>CW-04-32B</t>
  </si>
  <si>
    <t>CW-04-32A</t>
  </si>
  <si>
    <t>CW-07-39</t>
  </si>
  <si>
    <t>CW-05-32</t>
  </si>
  <si>
    <t>CWS-05-32</t>
  </si>
  <si>
    <t>I&amp;I - not part of Plainville</t>
  </si>
  <si>
    <t>T5-99-1022</t>
  </si>
  <si>
    <t>CW-10-31A</t>
  </si>
  <si>
    <t>CW-10-31</t>
  </si>
  <si>
    <t>CW-98-114</t>
  </si>
  <si>
    <t>CW-98-121</t>
  </si>
  <si>
    <t>44, 7(5)</t>
  </si>
  <si>
    <t>5/19/2008 ATM Art. 10 part 3 #37 $580,000 auth. 2 of 2  see 6/15/2009 GOB</t>
  </si>
  <si>
    <t>5/19/2008 ATM Art. 10 part 3 #37 $580,000 auth. 1 of 2  see 12/15/2010 GOB</t>
  </si>
  <si>
    <t>44, 7(4)</t>
  </si>
  <si>
    <t>44, 7(22)</t>
  </si>
  <si>
    <t>44, 7(31)</t>
  </si>
  <si>
    <t>44, 8(7A)</t>
  </si>
  <si>
    <t>5/16/2005 ATM Art. 17 part 3 #21 $1,947,318 auth. 1 of 3  see 6/15/2009 GOB 7 12/15/2010 GOB</t>
  </si>
  <si>
    <t>5/16/2005 ATM Art. 17 part 3 #21 $1,947,318 auth. 2 of 3  see 10/15/2006 GOB &amp; 12/15/2010 GOB</t>
  </si>
  <si>
    <t>5/16/2005 ATM Art. 17 part 3 #21 $1,947,318 auth. 3 of 3  see 10/15/2006 GOB &amp; 6/15/2009 GOB</t>
  </si>
  <si>
    <t>44, 7(21)</t>
  </si>
  <si>
    <t>4/22/2002 ATM Art. 6 part 3 #3 $689,500 auth. ($20,685 issuance costs) 2 of 3  see 10/15/2007 GOB &amp; 12/15/2010 GOB</t>
  </si>
  <si>
    <t>4/22/2002 ATM Art. 6 part 3 #3 $689,500 auth. ($20,685 issuance costs) 3 of 3  see 10/15/2007 GOB &amp; 6/15/2009 GOB</t>
  </si>
  <si>
    <t>44, 8(4)</t>
  </si>
  <si>
    <t>70B</t>
  </si>
  <si>
    <t>44, 7(25)</t>
  </si>
  <si>
    <t>Command Car - Vehicle - Replacement - Fire</t>
  </si>
  <si>
    <t>Cruisers (5) - Vehicle - Police</t>
  </si>
  <si>
    <t>Heating System - Fleet Maintenance Area - DPW Smith St. - BPW - Remodeling</t>
  </si>
  <si>
    <t>Aerial Ladder Truck - Vehicle - Fire</t>
  </si>
  <si>
    <t>Vactor Truck - Vehicle</t>
  </si>
  <si>
    <t>Dump Truck - 1 Ton - Vehicle -Highway - BPW</t>
  </si>
  <si>
    <t>F-250 Truck with Plow (2) - Vehicle - Highway - BPW</t>
  </si>
  <si>
    <t>Landscaping Dump Truck - Vehicle - Park &amp; Rec</t>
  </si>
  <si>
    <t>Fire Alarm Systems Upgrade - Safety Improvements - School - Remodeling</t>
  </si>
  <si>
    <t>Bus - Vehicle - School</t>
  </si>
  <si>
    <t>Bus - Vehicle - Park &amp; Rec</t>
  </si>
  <si>
    <t>SPED Bus - Vehicle - School</t>
  </si>
  <si>
    <t>SPED Wheelchair Bus Replacement - Vehicle - School</t>
  </si>
  <si>
    <t>SPED Wheelchair Bus Replacements - Vehicle - School</t>
  </si>
  <si>
    <t>Animal Control Facility (Shelter) Design/Engineering</t>
  </si>
  <si>
    <t>Police Facility Design/Engineering - Remodeling</t>
  </si>
  <si>
    <t>Water Mains - Mt. Hope Design/Engineering (2) - REFUNDING</t>
  </si>
  <si>
    <t>Water Mains - Mt. Hope Design/Engineering (1) - REFUNDING</t>
  </si>
  <si>
    <t>Water Mains - Mt. Hope Design/Engineering (3) - REFUNDING</t>
  </si>
  <si>
    <t>Bridge Repair &amp; Replacement Design/Engineering - Chestnut St. - BPW</t>
  </si>
  <si>
    <t>Bridge &amp; Culvert Plan Revision &amp; Construction Design/Engineering - BPW</t>
  </si>
  <si>
    <t>DPW Highway Buildings Design/Engineering &amp; Renovation - Remodeling</t>
  </si>
  <si>
    <t>Early Learning Center (ELC) Roof - Repair/Replacement - Remodeling</t>
  </si>
  <si>
    <t>School Construction Design/Engineering - Amvet, High, Allen, Early Learning Center (ELC) - Remodeling</t>
  </si>
  <si>
    <t>Reapprop. Proceeds of $11,369.61 6/6/2005 STM Art. 18</t>
  </si>
  <si>
    <t>10/20/1997 SATM Art. 33 supplement to 5/27/1992 ATM Art. 33 $5,675,000 auth. ($165,000 project costs)</t>
  </si>
  <si>
    <t>6/10/2002 STM Art. 35 supplement to 4/24/2000 ATM Art. 9 part 3 #2 $175,750 auth. [note: should have been $180,750 auth.] ($5,750 issuance costs)  Reapprop. Proceeds of $1.59 6/5/2006 STM Art. 6</t>
  </si>
  <si>
    <t>6/27/2011 STM Art. 1 supplement to 6/7/2010 ATM Art. 6 part 3 #28 $54,000 auth.</t>
  </si>
  <si>
    <t>6/27/2011 STM Art. 2 supplement to 6/7/2010 ATM Art. 6 part 3 #27 $40,000 auth.</t>
  </si>
  <si>
    <t>Admin Fee</t>
  </si>
  <si>
    <t>Grader, Loader, Roller - Heavy Equipment - Vehicle - Highway - BPW</t>
  </si>
  <si>
    <t>Backhoe #1 Replacement - Vehicle - Highway - BPW</t>
  </si>
  <si>
    <t>Communications System Installation - Equipment - Police</t>
  </si>
  <si>
    <t>Thermal Imager Replacement (2) - Equipment - Fire</t>
  </si>
  <si>
    <t>5/21/2007 ATM Art. 6 part 3b #48 $185,000 auth. 1 of 2  see 6/15/2009 GOB</t>
  </si>
  <si>
    <t>5/21/2007 ATM Art. 6 part 3b #48 $185,000 auth. 2 of 2  see 10/15/2007 GOB</t>
  </si>
  <si>
    <t>Brook &amp; Culvert Maintenance - BPW</t>
  </si>
  <si>
    <t>Tractor - Brush Cutting &amp; Sidewalk - Vehicle - Highway - BPW</t>
  </si>
  <si>
    <t>$1,266,304.38 unsubsidized Principal</t>
  </si>
  <si>
    <t>General Govt.</t>
  </si>
  <si>
    <t>5/21/2007 ATM Art. 6 part 3b #77 $1,500,000 auth.</t>
  </si>
  <si>
    <t>Water Treatment Facility - Kelley Blvd Wells - REFUNDING</t>
  </si>
  <si>
    <t>Waste Water Treatment Facility - Phosphorus Removal (Phase II)</t>
  </si>
  <si>
    <t>Falls Pump &amp; Waste Water Treatment Facility - Phosphorus Removal (Phase I)</t>
  </si>
  <si>
    <t>Plainville Share</t>
  </si>
  <si>
    <t>$79,372.50 Origination Fee, payable 1/15/2013 (included in 2013 NA &amp; Plainville Shares)</t>
  </si>
  <si>
    <t>Plainville Share = 23.5%, North Attleboro Share = 76.5%</t>
  </si>
  <si>
    <t>North Attleboro Share</t>
  </si>
  <si>
    <t>DPW 10</t>
  </si>
  <si>
    <t>SEWER 11</t>
  </si>
  <si>
    <t>WATER 12</t>
  </si>
  <si>
    <t>SCHOOL 13</t>
  </si>
  <si>
    <t>PUB SAF 14</t>
  </si>
  <si>
    <t>XXXXX</t>
  </si>
  <si>
    <t>N/A</t>
  </si>
  <si>
    <t>OTHER 15</t>
  </si>
  <si>
    <t>SEWER 11*</t>
  </si>
  <si>
    <t>4/12/2004 STM Art. 3 Establish Sewer Enterprise Fund effective FY2005</t>
  </si>
  <si>
    <t>GOB</t>
  </si>
  <si>
    <t>BOTH</t>
  </si>
  <si>
    <t>5/16/2005 ATM Art. 17 part 3 #24 $300,000 auth.</t>
  </si>
  <si>
    <t>TOTALS by Fund Type - Gen. Govt., Electric, Landfill, Sewer, &amp; Water</t>
  </si>
  <si>
    <t>10/16/1995 SATM Art. 37 $204,000 auth. 2 of 3  Exempt from total Town Debt levy amount</t>
  </si>
  <si>
    <t>6/6/2005 STM Art. 18 supplement to 5/17/2004 ATM Art. 4 part 3 #22 $2,323,508 auth. ($1,873,168 orig. + $450,340)</t>
  </si>
  <si>
    <t>St. Mark's Pond Dam Rehabilitation Design/Engineering - Conservation</t>
  </si>
  <si>
    <t>Dike Construction - Falls Pond Dam - Conservation</t>
  </si>
  <si>
    <t>Whitings Dam Rehab (Whiting Pond, Whiting St.) - Conservation</t>
  </si>
  <si>
    <t>5/21/2007 ATM Art. 6 part 3b #52 $82,000 auth.</t>
  </si>
  <si>
    <t>5/15/2006 ATM Art. 11 $205,000 auth. 1 of 2  see 6/15/2009 GOB</t>
  </si>
  <si>
    <t>5/15/2006 ATM Art. 11 $205,000 auth. 2 of 2  see 10/15/2007 GOB</t>
  </si>
  <si>
    <t>6/1/2009 ATM Art. 6 part 3 #35 $800,000 auth.</t>
  </si>
  <si>
    <t>6/1/2009 ATM Art. 6 part 3 #37 $60,000 auth.</t>
  </si>
  <si>
    <t>6/7/2010 ATM Art. 6 part 3 #24 $390,000 auth.</t>
  </si>
  <si>
    <t>6/7/2010 ATM Art. 6 part 3 #31 $70,000 auth.</t>
  </si>
  <si>
    <t>Waste Water Treatment Facility Design/Engineering - NPDES (Nat. Pollutant Discharge Elimination Sys.)</t>
  </si>
  <si>
    <t>Waste Water Treatment Facility - Sewer - NPDES (Nat. Pollutant Discharge Elimination Sys.)</t>
  </si>
  <si>
    <t>Sewer - NPDES (Nat. Pollutant Discharge Elimination Sys.) - Permit Requirements Phase II</t>
  </si>
  <si>
    <t>Orig. Fee</t>
  </si>
  <si>
    <t>Legal</t>
  </si>
  <si>
    <t>incl. Orig. &amp; Legal</t>
  </si>
  <si>
    <t>$4,300 paid down</t>
  </si>
  <si>
    <t>6/1/2009 ATM Art. 6 part 3 #28 $35,000 auth.</t>
  </si>
  <si>
    <t>Transfer $2,000 available funds</t>
  </si>
  <si>
    <t xml:space="preserve">5/17/2004 ATM Art. 4 part 3 #26 $963,000 auth. 1 of 2 - Approx. 71%  </t>
  </si>
  <si>
    <t>RESCINDED - 5/21/2007 ATM Art. 8 $24,000  Transfer $19,334 available funds</t>
  </si>
  <si>
    <t>5/19/2008 ATM Art. 10 part 3 #48 $29,000 auth.</t>
  </si>
  <si>
    <t>Transfer $4,500 available funds</t>
  </si>
  <si>
    <t>5/19/2008 ATM Art. 10 part 3 #43 $123,000 auth.</t>
  </si>
  <si>
    <t>5/19/2008 ATM Art. 10 part 3 #36 $75,000 auth.</t>
  </si>
  <si>
    <t>RESCINDED - 3/29/2010 STM Art. 1 $15,000  Transfer $4,500 available funds</t>
  </si>
  <si>
    <t>10/15/2007 SATM Art. 22 $157,200 auth.</t>
  </si>
  <si>
    <t>RESCINDED - 5/21/2007 ATM Art. 8 $138,715.01  Transfer Reapprop. Proceeds of $174,284.99 4/25/2005 STM Art. 16</t>
  </si>
  <si>
    <t>5/15/2013 GOB</t>
  </si>
  <si>
    <t>Fire Alarm Systems Upgrade - Roosevelt School - Remodeling</t>
  </si>
  <si>
    <t>Large Vehicle Mobile Lift System - Highway - BPW</t>
  </si>
  <si>
    <t>6/4/2012 ATM Art. 6 part 3 #5 $40,000 auth.</t>
  </si>
  <si>
    <t>4WD Pick-up Truck with Plow - Replace 41 - Vehicle - Forestry - BPW</t>
  </si>
  <si>
    <t>6/4/2012 ATM Art. 6 part 3 #6 $45,000 auth.</t>
  </si>
  <si>
    <t>Chipper - Replace - Forestry - BPW</t>
  </si>
  <si>
    <t>6/4/2012 ATM Art. 6 part 3 #7 $55,000 auth.</t>
  </si>
  <si>
    <t>Repair, Replacement, &amp; Maintenance - Roads, Bridges, &amp; Sidewalks - BPW</t>
  </si>
  <si>
    <t>6/4/2012 ATM Art. 6 part 3 #8 $500,000 auth.</t>
  </si>
  <si>
    <t>SCBA Compressor &amp; Fill Station - Equipment - Fire</t>
  </si>
  <si>
    <t>6/4/2012 ATM Art. 6 part 3 #11 $45,000 auth.</t>
  </si>
  <si>
    <t>Car 2 - Vehicle - Replacement - Fire</t>
  </si>
  <si>
    <t>6/4/2012 ATM Art. 6 part 3 #12 $28,000 auth.</t>
  </si>
  <si>
    <t>6/4/2012 ATM Art. 6 part 3 #13 $30,000 auth.</t>
  </si>
  <si>
    <t>Portable &amp; Mobile Radio Radio Replacement for DPW, Park &amp; Rec, &amp; Fire dept.s - 2 Repeater Towers - Equipment - Fire</t>
  </si>
  <si>
    <t>6/4/2012 ATM Art. 6 part 3 #14 $87,680 auth.</t>
  </si>
  <si>
    <t>Rescue Boat, Motor, Trailer, &amp; Support Equipment - Fire</t>
  </si>
  <si>
    <t>6/4/2012 ATM Art. 6 part 3 #15 $37,000 auth.</t>
  </si>
  <si>
    <t>Technology Hardware Upgrades - Computer Hardware</t>
  </si>
  <si>
    <t>6/4/2012 ATM Art. 6 part 3 #16 $24,584 auth.</t>
  </si>
  <si>
    <t>44, 7(18)</t>
  </si>
  <si>
    <t>GIS Flyover - Mapping - Photo Digital Imaging</t>
  </si>
  <si>
    <t>6/4/2012 ATM Art. 6 part 3 #17 $140,000 auth.</t>
  </si>
  <si>
    <t>Vehicle - 4-door - Park &amp; Rec</t>
  </si>
  <si>
    <t>6/4/2012 ATM Art. 6 part 3 #19 $24,000 auth.</t>
  </si>
  <si>
    <t>Cruisers (5) - Vehicle - Replacement - Police</t>
  </si>
  <si>
    <t>6/4/2012 ATM Art. 6 part 3 #21 $162,750 auth.</t>
  </si>
  <si>
    <t>6/4/2012 ATM Art. 6 part 3 #22 $561,821 auth.</t>
  </si>
  <si>
    <t>Bus - 42 Passenger - Diesel - AC - Wheelchair Capacity - Vehicle - School</t>
  </si>
  <si>
    <t>6/4/2012 ATM Art. 6 part 3 #24 $96,000 auth.</t>
  </si>
  <si>
    <t>Expand Door Security - School - Remodeling</t>
  </si>
  <si>
    <t>6/4/2012 ATM Art. 6 part 3 #27 $95,000 auth.</t>
  </si>
  <si>
    <t>High School Synchronized Clocks - Replacement</t>
  </si>
  <si>
    <t>6/4/2012 ATM Art. 6 part 3 #29 $35,000 auth.</t>
  </si>
  <si>
    <t>Roosevelt School Windows &amp; Doors (ARP) - Remodeling</t>
  </si>
  <si>
    <t>High School Science Labs (SLI) - Feasibility Study - Remodeling</t>
  </si>
  <si>
    <t>10/17/2011 STM Art. 17 supplement to 6/7/2010 ATM Art. 6 part 3 #26 $102,200 auth.</t>
  </si>
  <si>
    <t>Note: already borrowed $52,200 12/15/2010 GOB per original authorization</t>
  </si>
  <si>
    <t>10/17/2011 SATM Art. 15 part 3 #34 $42,585 auth.</t>
  </si>
  <si>
    <t>$2,454 extra proceeds</t>
  </si>
  <si>
    <t>Whitings Pond Dam Reconstruction Phase II - Conservation</t>
  </si>
  <si>
    <t>6/6/2011 ATM Art. 6 part 3 #23 $422,575 auth.</t>
  </si>
  <si>
    <t>6/7/2010 ATM Art. 6 part 3 #25 $50,000 auth.</t>
  </si>
  <si>
    <t>High School Bleachers - Remodeling</t>
  </si>
  <si>
    <t>6/4/2012 ATM Art. 6 part 3 #30 $20,000 auth.</t>
  </si>
  <si>
    <t>re: 4/24/2000 ATM Art. 9 part 3 #11 $30,000 auth.</t>
  </si>
  <si>
    <t>Falls School Modular Buildings Roof Top HVAC Units - Replacement</t>
  </si>
  <si>
    <t>6/4/2012 ATM Art. 6 part 3 #31 $50,000 auth.</t>
  </si>
  <si>
    <t>Roosevelt School Dishwasher - Replacement</t>
  </si>
  <si>
    <t>6/4/2012 ATM Art. 6 part 3 #32 $35,000 auth.</t>
  </si>
  <si>
    <t>Middle School Phones &amp; PA Systems - Replacement</t>
  </si>
  <si>
    <t>6/4/2012 ATM Art. 6 part 3 #28 $180,000 auth.</t>
  </si>
  <si>
    <t>Hazardous Material Removal - Hallways - Community School - Remodeling</t>
  </si>
  <si>
    <t>6/4/2012 ATM Art. 6 part 3 #26 $201,342 auth.</t>
  </si>
  <si>
    <t>Carpet Replacement - District - School</t>
  </si>
  <si>
    <t>6/4/2012 ATM Art. 6 part 3 #25 $48,000 auth.</t>
  </si>
  <si>
    <t>General Fire Flow Improvements - Smith St.</t>
  </si>
  <si>
    <t>4/22/2002 ATM Art. 6 part 3 #2 $520,000 auth.</t>
  </si>
  <si>
    <t>Asbestos Expenses - Hazardous Material Removal - Central Fire Station - Fire</t>
  </si>
  <si>
    <t>1/7/2013 STM Art. 7 $200,000 auth.</t>
  </si>
  <si>
    <t>High School Science Labs (SLI) - Remodeling</t>
  </si>
  <si>
    <t>$318,449.04 Premium</t>
  </si>
  <si>
    <t>1.481761% True Int. Cost</t>
  </si>
  <si>
    <t>5/15/2013       GRAND TOTALS</t>
  </si>
  <si>
    <t>11/15/2011       GRAND TOTALS</t>
  </si>
  <si>
    <t>12/15/2010       GRAND TOTALS</t>
  </si>
  <si>
    <t>6/15/2009       GRAND TOTALS</t>
  </si>
  <si>
    <t>10/15/2007       GRAND TOTALS</t>
  </si>
  <si>
    <t>10/15/2006       GRAND TOTALS</t>
  </si>
  <si>
    <t>3/15/2006 GOB       GRAND TOTALS</t>
  </si>
  <si>
    <t>3/1/2004       GRAND TOTALS</t>
  </si>
  <si>
    <t>8/15/2003       GRAND TOTALS</t>
  </si>
  <si>
    <t>2/15/2003       GRAND TOTALS</t>
  </si>
  <si>
    <t>3/15/2001       GRAND TOTALS</t>
  </si>
  <si>
    <t>$2,600.41 Addl. Interest</t>
  </si>
  <si>
    <t>$243,420 auth/unissued  RESCINDED - 5/15/2006 ATM Art. 18 $214,000 + $29,420 = $243,420</t>
  </si>
  <si>
    <t>RESCINDED - 6/3/2013 STM Art. 6 $4,257</t>
  </si>
  <si>
    <t>RESCINDED - 6/3/2013 STM Art. 6 $6,751</t>
  </si>
  <si>
    <t>RESCINDED - 6/3/2013 STM Art. 6 $40,000</t>
  </si>
  <si>
    <t>Dump Truck with Sander &amp; Appurtenances (2 each, 5 &amp; 6 and 6 &amp; 8) - Vehicle - Highway - BPW</t>
  </si>
  <si>
    <t>RESCINDED - 6/3/2013 STM Art. 6 $14,050</t>
  </si>
  <si>
    <t>RESCINDED - 6/3/2013 STM Art. 6 $1,500</t>
  </si>
  <si>
    <t>RESCINDED - 6/3/2013 STM Art. 6 $11,640</t>
  </si>
  <si>
    <t>RESCINDED - 6/3/2013 STM Art. 6 $9,021</t>
  </si>
  <si>
    <t>$2,365 paid down  MSBA Grant $320,123  RESCINDED - 6/3/2013 STM Art. 6 $494,000</t>
  </si>
  <si>
    <t>6/6/2011 ATM Art. 6 part 3 #12 $28,000 auth.</t>
  </si>
  <si>
    <t>Reapprop. Proceeds of $11,064.20 ($9,413.02 2/24/2003 STM Art. 8 &amp; $1,651.00 6/6/2005 STM Art. 17)</t>
  </si>
  <si>
    <t>Early Learning Center (ELC), Allen Ave., Falls School Roof - Remodeling</t>
  </si>
  <si>
    <t>Note - See GOB 11/15/2011 $486,000</t>
  </si>
  <si>
    <t>$6,000 auth/unissued (on SOI)</t>
  </si>
  <si>
    <t>$19,000 paid down  $39,700 borrowed 6/1/2012 BAN</t>
  </si>
  <si>
    <t>5/19/2008 ATM Art. 10 part 3 #46 $125,000 auth.</t>
  </si>
  <si>
    <t>0175*</t>
  </si>
  <si>
    <t>6277*</t>
  </si>
  <si>
    <t>7077*</t>
  </si>
  <si>
    <t>6077*</t>
  </si>
  <si>
    <t>6177*</t>
  </si>
  <si>
    <t>Transfer $4,000 available funds</t>
  </si>
  <si>
    <t>5/19/2008 ATM Art. 10 part 3 #42 $30,000 auth.</t>
  </si>
  <si>
    <t>Transfer $3,500 available funds</t>
  </si>
  <si>
    <t>5/19/2008 ATM Art. 10 part 3 #33 $30,000 auth.</t>
  </si>
  <si>
    <t>Transfer $15,000 available funds</t>
  </si>
  <si>
    <t>10/16/2006 SATM Art. 6 part 3 #30 $90,000 auth.</t>
  </si>
  <si>
    <t>5/15/2006 ATM Art. 12 $278,802.46 auth.</t>
  </si>
  <si>
    <t>Transfer $500 available funds  RESCINDED - 3/29/2010 STM Art. 1 $302</t>
  </si>
  <si>
    <t>5/16/2005 ATM Art. 17 part 3 #22 $225,000 auth. 1 of 2  see 6/15/2009 GOB</t>
  </si>
  <si>
    <t>5/16/2005 ATM Art. 17 part 3 #22 $225,000 auth. 2 of 2  see 10/15/2007 GOB</t>
  </si>
  <si>
    <t>Transfer $10,000 available funds</t>
  </si>
  <si>
    <t>5/17/2004 ATM Art. 4 part 3 #31 $70,000 auth.</t>
  </si>
  <si>
    <t>Transfer $40,351.19 available funds  RESCINDED - 5/21/2007 ATM Art. 8 $0.81</t>
  </si>
  <si>
    <t>4/27/1998 ATM Art. 14 part 3 #10 $45,000 auth. ($1,400 project/issuance cost)</t>
  </si>
  <si>
    <t>10/21/2002 SATM Art. 8 $587,100 auth. ($17,100 issuance costs)</t>
  </si>
  <si>
    <t>4/23/2001 ATM Art. 6 part 3 #4 $1,339,020 auth. ($39,020 issuance costs)</t>
  </si>
  <si>
    <t>10/21/2002 SATM Art. 13 $140,100 auth. ($4,100 issuance costs)</t>
  </si>
  <si>
    <t>10/15/2001 SATM Art. 20 $1,147,420 auth. ($33,420 issuance costs)  Reapprop. Proceeds of $63.23 5/15/2006 ATM Art. 12</t>
  </si>
  <si>
    <t>10/16/2000 SATM Art. 29 $2,964,000 auth. ($86,500 issuance costs)  Reapprop. Proceeds of $123.52 5/15/2006 ATM Art. 12</t>
  </si>
  <si>
    <t>6/14/1999 STM Art. 33 $348,000 auth. ($10,000 issuance costs)</t>
  </si>
  <si>
    <t>6/10/2002 STM Art. 25 $7,210,000 auth.</t>
  </si>
  <si>
    <t>10/21/2002 SATM Art. 9 $187,460 auth. ($5,460 issuance costs)</t>
  </si>
  <si>
    <t>4/24/2000 ATM Art. 9 part 3 #10 $412,000 auth. ($12,000 issuance costs) 2 of 3</t>
  </si>
  <si>
    <t>4/27/1998 ATM Art. 14 part 3 #3 $75,200 auth. ($2,200 issuance costs)</t>
  </si>
  <si>
    <t>4/27/1998 ATM Art. 14 part 3 #4 $133,900 auth. ($3,900 issuance costs)</t>
  </si>
  <si>
    <t>4/24/2000 ATM Art. 9 part 3 #1 $155,000 auth. ($5,000 issuance costs)</t>
  </si>
  <si>
    <t>$6,400 auth/unissued  RESCINDED - 10/21/2013 SATM Art. 12 all remaining auth/unissued</t>
  </si>
  <si>
    <t>$102,600 auth/unissued  RESCINDED - 10/21/2013 SATM Art. 12 all remaining auth/unissued  DEBT EXCLUSION  $71,000 borrowed 4/15/1996 GOB</t>
  </si>
  <si>
    <t>$14,600 auth/unissued (project/issuance costs)  RESCINDED - 10/21/2013 SATM Art. 12 all remaining auth/unissued  Reapprop. Proceeds of $39.52 5/15/2006 ATM Art. 12 &amp; Reapprop. Proceeds of $2,035.49 6/6/2011 ATM Art. 6 part 3 to #18</t>
  </si>
  <si>
    <t>$475,120 auth/unissued (project/issuance costs)  RESCINDED - 10/21/2013 SATM Art. 12 all remaining auth/unissued  Reapprop. Proceeds of $60.65 5/15/2006 ATM Art. 12</t>
  </si>
  <si>
    <t>$3,100 auth/unissued (issuance costs)  RESCINDED - 10/21/2013 SATM Art. 12 all remaining auth/unissued  Reapprop. Proceeds of $15.80 5/15/2006 ATM Art. 12</t>
  </si>
  <si>
    <t>$1,244,500 auth/unissued  RESCINDED - 5/15/2006 ATM Art. 18 $298,314.44  RESCINDED - 10/21/2013 SATM Art. 12 all remaining auth/unissued</t>
  </si>
  <si>
    <t>$7,558,000 ($348,000 + $7,210,000) auth. $186,500 auth/unissued (project/issuance costs)  RESCINDED - 10/21/2013 SATM Art. 12 all remaining auth/unissued  Reapprop. Proceeds of $23.72 5/15/2006 ATM Art. 12</t>
  </si>
  <si>
    <t>DEBT EXCLUSION  $7,558,000 ($348,000 + $7,210,000) auth. $186,500 auth/unissued (project/issuance costs)  RESCINDED - 10/21/2013 SATM Art. 12 all remaining auth/unissued  Reapprop. Proceeds of $505.85 5/15/2006 ATM Art. 12</t>
  </si>
  <si>
    <t>$4,460 auth/unissued (issuance costs)  RESCINDED - 10/21/2013 SATM Art. 12 all remaining auth/unissued  Reapprop. Proceeds of $15.80 5/15/2006 ATM Art. 12</t>
  </si>
  <si>
    <t>$10,000 auth/unissued (issuance costs)  RESCINDED - 10/21/2013 SATM Art. 12 all remaining auth/unissued  Reapprop. Proceeds of $31.62 5/15/2006 ATM Art. 12</t>
  </si>
  <si>
    <t>$62,600 auth/unissued  RESCINDED - 10/21/2013 SATM Art. 12 all remaining auth/unissued  DEBT EXCLUSION  $71,000 borrowed 4/15/1996 GOB  $30,400 borrowed 3/15/2001 GOB</t>
  </si>
  <si>
    <t>$1,700 auth/unissued (issuance costs)  RESCINDED - 10/21/2013 SATM Art. 12 all remaining auth/unissued  Reapprop. Proceeds of $73,000 6/6/2005 STM Art. 18  Reapprop. Proceeds of $7.92 5/15/2006 ATM Art. 12</t>
  </si>
  <si>
    <t>$3,400 auth/unissued (issuance costs)  RESCINDED - 10/21/2013 SATM Art. 12 all remaining auth/unissued  Reapprop. Proceeds of $15,988.84 6/6/2005 STM Art. 18  Reapprop. Proceeds of $7.92 5/15/2006 ATM Art. 12</t>
  </si>
  <si>
    <t>$4,000 auth/unissued (issuance costs)  RESCINDED - 10/21/2013 SATM Art. 12 all remaining auth/unissued  Reapprop. Proceeds of $15.80 5/15/2006 ATM Art. 12</t>
  </si>
  <si>
    <t>$17,185 auth/unissued (issuance costs)  RESCINDED - 10/21/2013 SATM Art. 12 all remaining auth/unissued</t>
  </si>
  <si>
    <t>4/22/2002 ATM Art. 6 part 3 #1 $216,300 auth. ($5,300 issuance costs)</t>
  </si>
  <si>
    <t>$5,300 auth/unissued (issuance costs)  RESCINDED - 10/21/2013 SATM Art. 12 all remaining auth/unissued  Reapprop. Proceeds of $15.80 6/5/2006 STM Art. 6</t>
  </si>
  <si>
    <t>4/24/2000 ATM Art. 9 part 3 #2 $155,000 auth. ($5,000 issuance costs)  Also see Landry Ave. Supplement below</t>
  </si>
  <si>
    <t>$4,000 auth/unissued (issuance costs)  RESCINDED - 10/21/2013 SATM Art. 12 all remaining auth/unissued  Reapprop. Proceeds of $15.80 6/5/2006 STM Art. 6 &amp; Reapprop. Proceeds of $9,415.70 4/25/2005 STM Art. 16</t>
  </si>
  <si>
    <t>4/23/2001 ATM Art. 6 part 3 #2 $710,185 auth. ($20,685 issuance costs)  Reapprop. Proceeds of $55.33 6/5/2006 STM Art. 6</t>
  </si>
  <si>
    <t>6/10/2002 STM Art. 33 $177,160 auth. ($5,160 issuance costs)</t>
  </si>
  <si>
    <t>$4,160 auth/unissued (issuance costs)  RESCINDED - 10/21/2013 SATM Art. 12 all remaining auth/unissued  Reapprop. Proceeds of $15.80 6/5/2006 STM Art. 6 &amp; Reapprop. Proceeds of $98,826 4/25/2005 STM Art. 16</t>
  </si>
  <si>
    <t>4/23/2001 ATM Art. 6 part 3 #1 $447,020 auth. ($13,020 issuance costs)  Reapprop. Proceeds of $23.72 6/5/2006 STM Art. 6</t>
  </si>
  <si>
    <t>$650 auth/unissued  $150,000 original plus $25,000 supplement (and $750 issuance costs)  RESCINDED - 10/21/2013 SATM Art. 12 all remaining auth/unissued  Reapprop. Proceeds of $18,058.38 4/25/2005 STM Art. 16</t>
  </si>
  <si>
    <t>RESCINDED - 5/15/2006 ATM Art. 18 $36,000 (issuance costs)</t>
  </si>
  <si>
    <t>4/22/2002 ATM Art. 6 part 3 #5 $385,000 auth.</t>
  </si>
  <si>
    <t>5/19/2003 ATM Art. 6 part 3 #31 $78,280 auth. ($2,280 issuance costs)</t>
  </si>
  <si>
    <t>$167 auth/unissued  RESCINDED - 3/29/2010 STM Art. 1 $37,595 &amp; $2,280  RESCINDED - 10/21/2013 SATM Art. 12 all remaining auth/unissued</t>
  </si>
  <si>
    <t>RESCINDED - 5/21/2007 ATM Art. 8 $7,000  Reapprop. Proceeds of $40,684.90 6/4/2012 STM Art. 10</t>
  </si>
  <si>
    <t>$36,768 auth/unissued  RESCINDED - 5/21/2007 ATM Art. 8 $105 + $36,663 = $36,768  Reapprop. Proceeds of $22,908.97 6/4/2012 STM Art. 10</t>
  </si>
  <si>
    <t>RESCINDED - 5/21/2007 ATM Art. 8 $2,600  Reapprop. Proceeds of $7,371.53 6/4/2012 STM Art. 10</t>
  </si>
  <si>
    <t>5/19/2003 ATM Art. 6 part 3 #24 $1,609,993 auth. ($46,893 issuance costs)</t>
  </si>
  <si>
    <t>5/19/2003 ATM Art. 6 part 3 #23 $412,000 auth. ($12,000 issuance costs) 1 of 2  see 6/15/2009 GOB</t>
  </si>
  <si>
    <t>Transfer $43,000 available funds  Reapprop. Proceeds of $1,411.40 6/6/2011 ATM Art. 6 part 3 #20 &amp; #32</t>
  </si>
  <si>
    <t>Reapprop. Proceeds of $25,009.27 6/4/2012 STM Art. 10  Transfer $200 available funds</t>
  </si>
  <si>
    <t>5/19/2003 ATM Art. 6 part 3 #23 $412,000 auth. ($12,000 issuance costs) 2 of 2  see 10/15/2007 GOB</t>
  </si>
  <si>
    <t>4/22/1996 ATM Art. 15 part 3 #11 $628,831 auth. ($12,331 issuance costs)</t>
  </si>
  <si>
    <t>$300,000 auth/unissued  RESCINDED - 6/5/2006 ATM Art. 7 $12,331  RESCINDED - 10/21/2013 SATM Art. 12 all remaining auth/unissued</t>
  </si>
  <si>
    <t>$18,375 auth/unissued  RESCINDED - 10/21/2013 SATM Art. 12 all remaining auth/unissued</t>
  </si>
  <si>
    <t>$1,250 auth/unissued  RESCINDED - 10/21/2013 SATM Art. 11 $1,250</t>
  </si>
  <si>
    <t>$345,183 auth/unissued  RESCINDED - 10/21/2013 SATM Art. 11 $345,183  $339,830 borrowed 11/15/2011 GOB  MSBA Grant $344,616</t>
  </si>
  <si>
    <t>$130,000 auth/unissued   Note - See GOB 11/15/2011 $486,000</t>
  </si>
  <si>
    <t>$80,000 borrowed 6/1/2012 BAN  $70,400 borrowed 5/15/2013 GOB  Reapprop. Proceeds of $2,035.49 10/21/2002 SATM Art. 8</t>
  </si>
  <si>
    <t>$220,000 borrowed 11/15/2011 GOB  $80,000 borrowed 6/1/2012 BAN  Reapprop. Proceeds of $2,035.49 10/21/2002 SATM Art. 8</t>
  </si>
  <si>
    <t>6/27/2011 STM Art. 3 supplement to 6/6/2011 ATM Art. 6 part 3 #18 $300,000 auth. 1 of 2  see 5/15/2013 GOB</t>
  </si>
  <si>
    <t>6/27/2011 STM Art. 3 supplement to 6/6/2011 ATM Art. 6 part 3 #18 $300,000 auth. 2 of 2  see 11/15/2011 GOB</t>
  </si>
  <si>
    <t>$345,183 RESCINDED 10/21/2013 SATM Art. 11  $24,987 borrowed 5/15/2013 GOB  MSBA Grant $344,616</t>
  </si>
  <si>
    <t>RESCINDED - 10/21/2013 SATM Art. 12 all remaining auth/unissued</t>
  </si>
  <si>
    <t>Plainville IMA</t>
  </si>
  <si>
    <t>5/1/2014 GOB</t>
  </si>
  <si>
    <t>5/1/2014       GRAND TOTALS</t>
  </si>
  <si>
    <t>$400,000 auth/unissued</t>
  </si>
  <si>
    <t>RESCINDED - 3/24/2014 STM Art. 3 $152,000</t>
  </si>
  <si>
    <t>Board of Health Vehicle - BOH</t>
  </si>
  <si>
    <t>RESCINDED - 3/24/2014 STM Art. 3 $1,121</t>
  </si>
  <si>
    <t>6/3/2013 STM Art. 5 $29,596 auth.</t>
  </si>
  <si>
    <t>Security Services - BOS</t>
  </si>
  <si>
    <t>6/3/2013 STM Art. 9 $170,000 auth.</t>
  </si>
  <si>
    <t>6/3/2013 ATM Art. 6 part 3 #10 $45,000 auth.</t>
  </si>
  <si>
    <t>Hazardous Material Removal - All Schools - Remodeling</t>
  </si>
  <si>
    <t>6/3/2013 ATM Art. 6 part 3 #12 $120,000 auth.</t>
  </si>
  <si>
    <t>Community School Ceilings Repair/Replacement - Remodeling</t>
  </si>
  <si>
    <t>6/3/2013 ATM Art. 6 part 3 #13 $75,000 auth.</t>
  </si>
  <si>
    <t>Town Hall Generator - BOS</t>
  </si>
  <si>
    <t>RESCINDED - 3/24/2014 STM Art. 3 $2,143</t>
  </si>
  <si>
    <t>6/3/2013 ATM Art. 6 part 3 #14 $50,000 auth.</t>
  </si>
  <si>
    <t>6/3/2013 ATM Art. 6 part 3 #18 $184,793 auth.</t>
  </si>
  <si>
    <t>6/3/2013 ATM Art. 6 part 3 #19 $41,406 auth.</t>
  </si>
  <si>
    <t>6/3/2013 ATM Art. 6 part 3 #21 $500,000 auth.</t>
  </si>
  <si>
    <t>Street Sign Making Equipment - BPW</t>
  </si>
  <si>
    <t>6/3/2013 ATM Art. 6 part 3 #22 $25,000 auth.</t>
  </si>
  <si>
    <t>Technology Hardware Upgrades - IT</t>
  </si>
  <si>
    <t>6/3/2013 ATM Art. 6 part 3 #23 $33,800 auth.</t>
  </si>
  <si>
    <t>Pavement Repair - Park &amp; Rec</t>
  </si>
  <si>
    <t>6/3/2013 ATM Art. 6 part 3 #24 $50,000 auth.</t>
  </si>
  <si>
    <t>6/3/2013 ATM Art. 6 part 3 #25 $438,312 auth.</t>
  </si>
  <si>
    <t>District Pavement Repair - School</t>
  </si>
  <si>
    <t>6/3/2013 ATM Art. 6 part 3 #26 $100,000 auth.</t>
  </si>
  <si>
    <t>Community School Dishwasher - Replacement</t>
  </si>
  <si>
    <t>6/3/2013 ATM Art. 6 part 3 #27 $35,000 auth.</t>
  </si>
  <si>
    <t>Bus - SPED - Vehicle - School</t>
  </si>
  <si>
    <t>RESCINDED - 3/24/2014 STM Art. 3 $14,076.34</t>
  </si>
  <si>
    <t>6/3/2013 ATM Art. 6 part 3 #28 $65,000 auth.</t>
  </si>
  <si>
    <t>Town Hall Automatic Temperature Control Phase 2 - BOS</t>
  </si>
  <si>
    <t>RESCINDED - 3/24/2014 STM Art. 3 $3,560</t>
  </si>
  <si>
    <t>6/3/2013 ATM Art. 6 part 3 #29 $80,000 auth.</t>
  </si>
  <si>
    <t>10-Wheel Dump Sander w/ Plow (replace Sanders 1 &amp; 3) - Vehicle - Highway - BPW</t>
  </si>
  <si>
    <t>6/3/2013 ATM Art. 6 part 3 #30 $220,000 auth.</t>
  </si>
  <si>
    <t>LeStage Field Development - Park &amp; Rec</t>
  </si>
  <si>
    <t>6/3/2013 ATM Art. 6 part 3 #32 $60,000 auth.</t>
  </si>
  <si>
    <t>Carpeting Middle Level &amp; Upper Level Town Hall - BOS</t>
  </si>
  <si>
    <t>RESCINDED - 3/24/2014 STM Art. 3 $11,735</t>
  </si>
  <si>
    <t>6/3/2013 ATM Art. 6 part 3 #34 $55,000 auth.</t>
  </si>
  <si>
    <t>Playground Equipment - Park &amp; Rec</t>
  </si>
  <si>
    <t>6/3/2013 ATM Art. 6 part 3 #35 $30,000 auth.</t>
  </si>
  <si>
    <r>
      <t>6/3/2013 ATM Art. 6 part 3 #38 $50,000 auth.</t>
    </r>
    <r>
      <rPr>
        <sz val="10"/>
        <color rgb="FFFF0000"/>
        <rFont val="Times New Roman"/>
        <family val="1"/>
      </rPr>
      <t/>
    </r>
  </si>
  <si>
    <t>Car 1 - Vehicle - Replacement - BPW</t>
  </si>
  <si>
    <t>6/3/2013 ATM Art. 6 part 3 #40 $45,000 auth.</t>
  </si>
  <si>
    <t>Portable Bleachers - Park &amp; Rec</t>
  </si>
  <si>
    <t>6/3/2013 ATM Art. 6 part 3 #44 $21,200 auth.</t>
  </si>
  <si>
    <t>Roosevelt Ave. School Modular Buildings Roof Top HVAC Units - Replacement</t>
  </si>
  <si>
    <t>6/3/2013 ATM Art. 6 part 3 #45 $50,000 auth.</t>
  </si>
  <si>
    <t>Pumper - Vehicle - Fire</t>
  </si>
  <si>
    <t>1/6/2014 STM Art. 8 $450,000 auth.</t>
  </si>
  <si>
    <t>2.4766% True Int. Cost</t>
  </si>
  <si>
    <t>$3,065.00 Addl. Interest</t>
  </si>
  <si>
    <t>$85,743.73 Premium</t>
  </si>
  <si>
    <t>6-Wheel Dump Truck - Vehicle - Highway - BPW</t>
  </si>
  <si>
    <t>Cruisers - Vehicle - Replacement - Police</t>
  </si>
  <si>
    <t>Prisoner Transport Van - Vehicle - Police</t>
  </si>
  <si>
    <t>subsidized</t>
  </si>
  <si>
    <t>1/10/2011 STM Art. 15 $590,000 auth. (combined auth/unissued 5/15/2006 ATM Art. 11 $130,000, 5/21/2007 ATM Art. 14 $380,000, 5/19/2008 STM Art. 17 $80,000) see 11/15/2011 GOB</t>
  </si>
  <si>
    <t>10/15/2012 SATM Art. 13 $51,000 auth.</t>
  </si>
  <si>
    <t>10/20/1997 SATM Art. 33 supplement to 5/27/1992 ATM Art. 33 $5,675,000 auth.  $1,132,611.07 unsubsidized Principal</t>
  </si>
  <si>
    <t>10/20/1997 SATM Art. 33 supplement to 5/27/1992 ATM Art. 33 $5,675,000 auth.  $1,266,304.38 unsubsidized Principal</t>
  </si>
  <si>
    <t>10/20/1997 SATM Art. 33 supplement to 5/27/1992 ATM Art. 33 $5,675,000 auth.  $88,311.00 unsubsidized Principal</t>
  </si>
  <si>
    <t>4/22/2002 ATM Art. 6 part 3 #5 $385,000 auth. &amp; 4/22/2002 ATM Art. 6 part 3 #4 $1,212,000 auth.  $1,057,644.28 unsubsidized Principal</t>
  </si>
  <si>
    <t>6/6/2005 STM Art. 18 supplement to 5/17/2004 ATM Art. 4 part 3 #22 $2,323,508 auth.</t>
  </si>
  <si>
    <t>5/16/2005 ATM Art. 17 part 3 #21 $1,947,318 auth.</t>
  </si>
  <si>
    <t>6/7/2010 ATM Art. 6 part 3 #37 $38,000,000 auth.  Waste Water Treatment Facility - NPDES (Nat. Pollutant Discharge Elimination Sys.) - Upgrade Part 1</t>
  </si>
  <si>
    <t>6/7/2010 ATM Art. 6 part 3 #37 $38,000,000 auth.  Waste Water Treatment Facility - NPDES (Nat. Pollutant Discharge Elimination Sys.) - Upgrade Part 2</t>
  </si>
  <si>
    <t>5/19/2003 ATM Art. 6 part 3 #23 $400,000 auth.  $72,424.29 unsubsidized Principal</t>
  </si>
  <si>
    <t>5/19/2003 ATM Art. 6 part 3 #23 $400,000 auth.</t>
  </si>
  <si>
    <t>10/19/1998 SATM Art. 46 $206,000 auth. ($6,000 issuance costs)  RESCINDED - 10/21/2013 SATM Art. 12 all remaining auth/unissued</t>
  </si>
  <si>
    <t>Title V - Debt Exclusion - Septic Betterment - CSMP - Community Septic Management Program</t>
  </si>
  <si>
    <t>4/23/2002 ATM Art. 6 part 3 #3 $626,000 auth.  $553,149.00 unsubsidized Principal</t>
  </si>
  <si>
    <t>Stormwater Master Plan Phase II</t>
  </si>
  <si>
    <t>6/15/1998 STM Art. 23 $3,908,000 ($114,000 issuance costs), 10/19/1998 SATM Art. 44 incr. auth. $200,000 to $4,108,000, 10/16/2000 SATM Art. 22 incr. auth. $274,000 to $4,382,000 auth.</t>
  </si>
  <si>
    <t>Water Enterprise   $3,274,514.19 unsubsidized Principal</t>
  </si>
  <si>
    <t>Water Enterprise   $263,033.00 unsubsidized Principal</t>
  </si>
  <si>
    <t>$233,264 auth/unissued  RESCINDED - 10/21/2013 SATM Art. 12 all remaining auth/unissued  MCWT (MWPAT) loan $3,416,736 (CW-98-114 $1,510,781 &amp; CW-98-69 $1,800,477 &amp; CW-98-69A $105,478)</t>
  </si>
  <si>
    <t>$33,016.57 auth/unissued  MCWT (MWPAT) loan CW-02-41 $1,289,700 ($1,215,869 actual loan) $195,200 portion ($184,025.43 actual portion)  RESCINDED - 3/29/2010 STM Art. 1 $156,606  RESCINDED - 10/21/2013 SATM Art. 12 all remaining auth/unissued  Reapprop. Proceeds of $4,795.67 6/4/2012 STM Art. 10</t>
  </si>
  <si>
    <t>$62,656.43 auth/unissued  RESCINDED - 10/21/2013 SATM Art. 12 all remaining auth/unissued  MCWT (MWPAT) loan CW-02-41 $1,289,700 ($1,215,869 actual loan) $1,094,500 portion ($1,031,843.57 actual portion)</t>
  </si>
  <si>
    <t>$200,716 auth/unissued  MCWT (MWPAT) loan CW-03-33 $1,276,777  RESCINDED - 3/29/2010 STM Art. 1 $153,823  RESCINDED - 10/21/2013 SATM Art. 12 all remaining auth/unissued  Reapprop. Proceeds of $242,346.45 6/4/2012 STM Art. 10</t>
  </si>
  <si>
    <t>???$-116,516 auth/unissued???  MCWT (MWPAT) loan CW-04-32 $2,246,920  RESCINDED - 3/29/2010 STM Art. 1 $125,377  RESCINDED - 6/4/2012 STM Art. 11 $13,032  RESCINDED - 10/21/2013 SATM Art. 12 all remaining auth/unissued</t>
  </si>
  <si>
    <t>MCWT (MWPAT) loan CW-05-33 $910,532</t>
  </si>
  <si>
    <t>$143,826 auth/unissued  MCWT (MWPAT) loan CW-03-24 $78,174 (orig. loan)  RESCINDED - 3/29/2010 STM Art. 1 $826  RESCINDED - 10/21/2013 SATM Art. 12 all remaining auth/unissued</t>
  </si>
  <si>
    <t>$460,150 auth/unissued  MCWT (MWPAT) loan CW-06-36 $883,850  Reapprop. Proceeds of $24,439.30 6/4/2012 STM Art. 10  RESCINDED - 6/4/2012 STM Art. 11 $460,150</t>
  </si>
  <si>
    <t>MCWT (MWPAT) loan CW-07-39 $792,391  RESCINDED - 3/29/2010 STM Art. 1 $761,356  Appropriate back 6/7/2010 STM Art. 8 $123,747  Reapprop. Proceeds of $66,078.11 6/4/2012 STM Art. 10</t>
  </si>
  <si>
    <t>$41,123 auth/unissued  MCWT (MWPAT) loan CWS-05-32 $41,123 portion ($400,000 portion used 5/15/2006 ATM Art. 7 part 3 #65)</t>
  </si>
  <si>
    <t>CW-05-33  Pool 12  MCWT (MWPAT)  11/22/2006</t>
  </si>
  <si>
    <t>CW-06-36  Pool 13  MCWT (MWPAT)  11/28/2007</t>
  </si>
  <si>
    <t>Purple = rounding errors on MCWT (MWPAT) Debt Schedule</t>
  </si>
  <si>
    <t>MCWT (MWPAT)</t>
  </si>
  <si>
    <t>TOTALS by Loan Type - GOB, MCWT (MWPAT)</t>
  </si>
  <si>
    <t>MCWT (MWPAT) CW-10-31A</t>
  </si>
  <si>
    <t>TOTALS by Loan Type within Fund Type - GOB/MCWT (MWPAT) within Gen. Govt., Electric, Landfill, Sewer, &amp; Water</t>
  </si>
  <si>
    <t>DEBT EXCLUSION  $71,000 borrowed 4/15/1996 GOB  $30,400 borrowed 3/15/2001 GOB  $40,000 borrowed 2/15/2003 GOB  RESCINDED - 6/5/2006 STM Art. 7 $2,600</t>
  </si>
  <si>
    <t>RESCINDED - 10/20/2014 SATM Art. 12 $25,000</t>
  </si>
  <si>
    <r>
      <t xml:space="preserve">Sewer                                                          </t>
    </r>
    <r>
      <rPr>
        <sz val="10"/>
        <color rgb="FF7030A0"/>
        <rFont val="Times New Roman"/>
        <family val="1"/>
      </rPr>
      <t xml:space="preserve"> Purple = rounding errors on MCWT Debt Schedule</t>
    </r>
  </si>
  <si>
    <t>T5-99-1022A</t>
  </si>
  <si>
    <t>DW-99-23A  Pool 7  MCWT (MWPAT)  11/11/2004 amended (6/27/2001 original $288,035)</t>
  </si>
  <si>
    <t>CW-01-27  Pool 8  MCWT (MWPAT)  11/11/2004 amended (10/30/2002 original $601,301)</t>
  </si>
  <si>
    <t>CW-98-69A  Pool 9  MCWT (MWPAT)  4/13/2007 amended (10/9/2003 original $105,478)</t>
  </si>
  <si>
    <t>CW-03-33  Pool 10  MCWT (MWPAT)  4/13/2007 amended (11/3/2004 original $1,276,777)</t>
  </si>
  <si>
    <t>CW-04-32  Pool 11  MCWT (MWPAT)  10/29/2007 amended (10/24/2005 original $2,246,920)</t>
  </si>
  <si>
    <t>CW-04-32A  Pool 14  MCWT (MWPAT)  3/12/2009 amended (3/28/2008 original $150,000)</t>
  </si>
  <si>
    <t>CW-04-32B  Pool 15  MCWT (MWPAT)  6/22/2010 amended (4/1/2009 original $100,000)</t>
  </si>
  <si>
    <t>CWS-05-32 Pool 15  MCWT (MWPAT)  6/6/2012 amended (2/23/2010 original $441,123)</t>
  </si>
  <si>
    <t>CW-07-39  Pool 15  MCWT (MWPAT)  6/6/2012 amended (10/26/2009 original $792,391)</t>
  </si>
  <si>
    <t>CW-10-31  Pool 16  MCWT (MWPAT)  10/18/2013 amended</t>
  </si>
  <si>
    <t>CW-98-121  Pool 6  MCWT (MWPAT)  11/11/2004 amended (10/20/2000 original $1,229,700)</t>
  </si>
  <si>
    <t>CW-98-114  Pool 5  MCWT (MWPAT)  11/11/2004 amended (9/10/1999 original $1,510,781; then 9/20/2001 amended $1,313,238)</t>
  </si>
  <si>
    <t>CW-98-69  Pool 5  MCWT (MWPAT)  11/11/2004 amended (9/13/1999 original $1,800,477; then 9/20/2001 amended $1,465,960)</t>
  </si>
  <si>
    <t>DW-99-23  Pool 6  MCWT (MWPAT)  11/11/2004 amended (10/20/2000 original $3,869,770; then 10/20/2000 amended $3,580,257)</t>
  </si>
  <si>
    <t>CW-02-41  Pool 9  MCWT (MWPAT)  4/13/2007 amended (10/9/2003 original $1,215,869; then 12/7/2005 amended $1,103,991)</t>
  </si>
  <si>
    <t>CW-03-24  Pool 10  MCWT (MWPAT)  4/13/2007 amended (11/3/2004 original $78,174; then 11/1/2006 amended $72,424)</t>
  </si>
  <si>
    <r>
      <t xml:space="preserve">5/19/2003 ATM Art. 6 part 3 #24 $1,609,993 auth.  </t>
    </r>
    <r>
      <rPr>
        <b/>
        <sz val="10"/>
        <rFont val="Times New Roman"/>
        <family val="1"/>
      </rPr>
      <t>$1,162,788.99 unsubsidized Principal</t>
    </r>
  </si>
  <si>
    <t>CW-05-32  Pool 15  MCWT (MWPAT)  6/13/2012 amended (11/5/2008, 6/21/2010 original $130,020)</t>
  </si>
  <si>
    <t>T5-99-1022A  Pool 15  MCWT (MWPAT)  12/31/2014 final (8/18/2008 original $200,000)</t>
  </si>
  <si>
    <t>T5-99-1022  Pool 15  MCWT (MWPAT)  12/31/2014 final (8/18/2008 original $200,000)</t>
  </si>
  <si>
    <t>Blue = Prorated Admin Fee FY14</t>
  </si>
  <si>
    <t>Holmes School Restoration - Remodeling - Historical</t>
  </si>
  <si>
    <t>1/5/2015 STM Art. 2 Name/description changed to remove "Interior"</t>
  </si>
  <si>
    <t>6/6/2011 STM Art. 13 supplement to 1/10/2011 STM Art. 14 $710,000 auth. 2 of 2  see 11/15/2011 GOB</t>
  </si>
  <si>
    <t>6/4/2012 STM Art. 8 $500,000 auth. 1 of 2  see 5/1/2014 GOB</t>
  </si>
  <si>
    <t>6/4/2012 STM Art. 8 $500,000 auth. 2 of 2  see 5/15/2013 GOB</t>
  </si>
  <si>
    <t>RESCINDED - 3/24/2014 STM Art. 3 $411,910  MSBA Grant NA share = $88,090 (47.94%)</t>
  </si>
  <si>
    <t>RESCINDED - 3/23/2015 STM Art. 3 $467,165  MSBA Grant NA share = $532,835 (53.84%)</t>
  </si>
  <si>
    <t>RESCINDED - 3/23/2015 STM Art. 3 $11,934,000</t>
  </si>
  <si>
    <t>RESCINDED - 3/23/2015 STM Art. 3 $2,959,659  MSBA Grant NA share = $3,010,341 (51.33%)</t>
  </si>
  <si>
    <t>LeStage Field Development Additional Funds - High St. - Park &amp; Rec</t>
  </si>
  <si>
    <t>10/20/2014 SATM Art. 9 $95,000 auth. + 6/2/2014 ATM Art. 6C #11 $220,000 auth. = $315,000 auth.</t>
  </si>
  <si>
    <t>Joint Dispatch Design/Engineering/Equipment/Tech - Police/Fire - Remodeling</t>
  </si>
  <si>
    <t>6/2/2014 ATM Art. 6C #1 $475,000 auth.</t>
  </si>
  <si>
    <t>Safety &amp; Security Improvements Town-wide Design/Eng/Equip/Tech - BOS - Remodeling</t>
  </si>
  <si>
    <t>6/2/2014 ATM Art. 6C #4 $250,000 auth.</t>
  </si>
  <si>
    <t>6/2/2014 ATM Art. 6C #5 $100,000 auth.</t>
  </si>
  <si>
    <t>6/2/2014 ATM Art. 6C #6 $177,185 auth.  Add $6,000 from 6/4/2012 ATM Art. 6 part 3 #21 = total $183,185 auth.</t>
  </si>
  <si>
    <t>6/2/2014 ATM Art. 6C #7 $500,000 auth.</t>
  </si>
  <si>
    <t>6/2/2014 ATM Art. 6C #8 $367,818 auth.</t>
  </si>
  <si>
    <t>Van/Bus - SPED - Vehicle - School</t>
  </si>
  <si>
    <t>6/2/2014 ATM Art. 6C #9 $55,000 auth.</t>
  </si>
  <si>
    <t>Asphalt/Paving Management Plan - Town-wide - BPW</t>
  </si>
  <si>
    <t>6/2/2014 ATM Art. 6C #10 $200,000 auth.</t>
  </si>
  <si>
    <t>Station 1 Feasibility Study - Fire</t>
  </si>
  <si>
    <t>6/2/2014 ATM Art. 6C #14 $45,000 auth.</t>
  </si>
  <si>
    <t>Dump Truck - Vehicle - Park &amp; Rec</t>
  </si>
  <si>
    <t>6/2/2014 ATM Art. 6C #15 $66,000 auth.</t>
  </si>
  <si>
    <t>6-Wheel Truck w/ Sander &amp; Plow - Vehicle - Replacement T-43 - Highway - BPW</t>
  </si>
  <si>
    <t>6/2/2014 ATM Art. 6C #16 $185,000 auth.</t>
  </si>
  <si>
    <t>Sign Van - Vehicle - Replacement - Highway - BPW</t>
  </si>
  <si>
    <t>6/2/2014 ATM Art. 6C #17 $34,200 auth.</t>
  </si>
  <si>
    <t>Generator - Replacement - School</t>
  </si>
  <si>
    <t>6/2/2014 ATM Art. 6C #18 $45,000 auth.</t>
  </si>
  <si>
    <t>RESCINDED - 3/23/2015 STM Art. 3 $13,156</t>
  </si>
  <si>
    <t>Replace Windows, Siding, &amp; Doors Kelly Blvd. Station - Fire - Remodeling</t>
  </si>
  <si>
    <t>6/3/2013 ATM Art. 6 part 3 #31 $41,398 auth.</t>
  </si>
  <si>
    <t>AMENDED - see 6/2/2014 STM Art. 1 $85,553 auth.</t>
  </si>
  <si>
    <t>Architectural Plans/Spec for Restoration of Holmes Memorial Hall - Remodeling - Historical</t>
  </si>
  <si>
    <t>6/3/2013 ATM Art. 6 part 3 #39 $20,000 auth.</t>
  </si>
  <si>
    <t>Brook &amp; Culvert Repair - BPW</t>
  </si>
  <si>
    <t>6/4/2012 ATM Art. 6 part 3 #9 $50,000 auth.</t>
  </si>
  <si>
    <t>6/3/2013 ATM Art. 6 part 3 #47 $1,000,000 auth.</t>
  </si>
  <si>
    <t>Rescue 2 - Ambulance - Vehicle - Replacement - Fire</t>
  </si>
  <si>
    <t>6/4/2012 STM Art. 9 $1,000,000 auth. 1 of 2  see 5/6/2015 GOB</t>
  </si>
  <si>
    <t>6/4/2012 STM Art. 9 $1,000,000 auth. 2 of 2  see 5/15/2013 GOB</t>
  </si>
  <si>
    <t>10/15/2012 SATM Art. 15 $6,000,000 auth. 1 of 2  see 5/6/2015 GOB</t>
  </si>
  <si>
    <t>10/15/2012 SATM Art. 15 $6,000,000 auth. 2 of 2  see 5/1/2014 GOB</t>
  </si>
  <si>
    <t>5/19/2008 ATM Art. 10 part 3 #47 $360,000 auth. 1 of 2  see 5/5/2015 GOB</t>
  </si>
  <si>
    <t>5/19/2008 ATM Art. 10 part 3 #47 $360,000 auth. 2 of 2  see 6/15/2009 GOB</t>
  </si>
  <si>
    <t>Water Main Replacement</t>
  </si>
  <si>
    <t>6/4/2012 ATM Art. 6 part 3 #35 $250,000 auth.</t>
  </si>
  <si>
    <t>6/6/2011 ATM Art. 6 part 3 #52 $750,000 auth.</t>
  </si>
  <si>
    <t>Lead Services Replacement</t>
  </si>
  <si>
    <t>6/7/2010 ATM Art. 6 part 3 #40 $200,000 auth.</t>
  </si>
  <si>
    <t>$166,284.26 Premium</t>
  </si>
  <si>
    <t>1.935805% True Int. Cost</t>
  </si>
  <si>
    <t>6/7/2010 ATM Art. 6 part 3 #38 $1,000,000 auth.</t>
  </si>
  <si>
    <t>incl. Origination Fee for MCWT CW-10-31A</t>
  </si>
  <si>
    <t>Boiler - Replacement - Roosevelt - School</t>
  </si>
  <si>
    <t>10/20/2014 SATM Art. 29 $400,000 auth.</t>
  </si>
  <si>
    <t>5/15/2015 GOB</t>
  </si>
  <si>
    <t>5/15/2015      GRAND TOTALS</t>
  </si>
  <si>
    <t>$1,912.99 Addl. Interest</t>
  </si>
  <si>
    <t>$68,994.66 Iss. Cost = $4,000 USBank, $10,837 S&amp;P, $1,786.91 Off Stat &amp; Cont Disc, $31,118.75 Legal, $21,252 Bank</t>
  </si>
  <si>
    <t>$66,665.13 Iss. Cost = $4,500 USBank, $9,775 S&amp;P, $1,460.88 Off State &amp; Cont Disc, $30,512.25 Legal, $20,417 Bank</t>
  </si>
  <si>
    <t>10/19/2015 SATM Art. 4 - transfer from Gen Govt Debt to Sewer Enterprise Debt</t>
  </si>
  <si>
    <t>5/19/2016 GOB</t>
  </si>
  <si>
    <t>5/19/2016      GRAND TOTALS</t>
  </si>
  <si>
    <t>6/1/2015 ATM Art. 6C #31 $1,325,000 auth.</t>
  </si>
  <si>
    <t>6/1/2015 ATM Art. 6C #30 $1,000,000 auth.</t>
  </si>
  <si>
    <t>Falls Pond Dam Rehabilitation &amp; Maintenance - Conservation</t>
  </si>
  <si>
    <t>6/1/2015 ATM Art. 6C #2 $144,000 &amp; 1/11/2016 STM Art. 7 $72,000 auth.</t>
  </si>
  <si>
    <t>RESCINDED - 10/19/2015 SATM Art. 5 $123,000</t>
  </si>
  <si>
    <t>Station 2 Back-up Generator - Fire</t>
  </si>
  <si>
    <t>6/1/2015 ATM Art. 6C #3 $25,000 auth.</t>
  </si>
  <si>
    <t>6/1/2015 ATM Art. 6C #5 $250,000 auth.</t>
  </si>
  <si>
    <t>6/1/2015 ATM Art. 6C #6 $190,756 auth.</t>
  </si>
  <si>
    <t>Food Delivery Truck - Vehicle - School</t>
  </si>
  <si>
    <t>6/1/2015 ATM Art. 6C #7 $39,000 auth.</t>
  </si>
  <si>
    <t>6/1/2015 ATM Art. 6C #8 $500,000 auth.</t>
  </si>
  <si>
    <t>44, 7(5)(6)</t>
  </si>
  <si>
    <t>10 Mile (Ten Mile) River Improvements - BPW</t>
  </si>
  <si>
    <t>6/1/2015 ATM Art. 6C #10 $200,000 auth.</t>
  </si>
  <si>
    <t>6/1/2015 ATM Art. 6C #11 $400,000 auth.</t>
  </si>
  <si>
    <t>Vans/Buses - SPED - Vehicles - School</t>
  </si>
  <si>
    <t>6/1/2015 ATM Art. 6C #12 $120,000 auth.</t>
  </si>
  <si>
    <t>Storage Trailer &amp; Voting Furniture - Elections</t>
  </si>
  <si>
    <t>6/1/2015 ATM Art. 6C #17 $25,000 auth.</t>
  </si>
  <si>
    <t>St. Mark's Pond Dam Rehabilitation - Conservation</t>
  </si>
  <si>
    <t>6/3/2013 ATM Art. 6 part 3 #20 $230,500 auth. reduced to $51,651.58 auth.</t>
  </si>
  <si>
    <t>borrowing amount reduced - paid from unexpended proceeds</t>
  </si>
  <si>
    <t>$446,931.38 Premium</t>
  </si>
  <si>
    <t>1.657786% True Int. Cost</t>
  </si>
  <si>
    <t>$48,872.61 Iss. Cost = $4,000 USBank, $11,000 S&amp;P, $398.79 Off Stat &amp; Cont Disc, $18,000 Legal, $15,473.82 Bank</t>
  </si>
  <si>
    <r>
      <t xml:space="preserve">MSBA Grant - NA share $196,248.31 (51.94%)  </t>
    </r>
    <r>
      <rPr>
        <sz val="10"/>
        <color rgb="FFFF0000"/>
        <rFont val="Times New Roman"/>
        <family val="1"/>
      </rPr>
      <t>RESCINDED - 1/18/2017 STM Art. 6 $203,751.69</t>
    </r>
  </si>
  <si>
    <t>Borrowed $400,000 - see 6/7/2010 GOB  RESCINDED - 10/20/2014 SATM Art. 12 $0.18  Reapprop. Proceeds of $454,734.82 6/4/2012 STM Art. 10</t>
  </si>
  <si>
    <t>Borrowed $145,265 - see 5/1/2014 GOB  RESCINDED - 10/20/2014 SATM Art. 12 $0.18  Reapprop. Proceeds of $454,734.82 6/4/2012 STM Art. 10</t>
  </si>
  <si>
    <t>6/7/2010 ATM Art. 6 part 3 #37 $38,000,000 auth.</t>
  </si>
  <si>
    <t>MCWT (MWPAT) loans CW-10-31 $14,250,000 &amp; CW-10-31A $11,416,000</t>
  </si>
  <si>
    <t>1/10/2011 STM Art. 15 $590,000 auth. (combined auth/unissued 5/15/2006 ATM Art. 11 $130,000, 5/21/2007 ATM Art. 14 $380,000, 5/19/2008 STM Art. 17 $80,000)</t>
  </si>
  <si>
    <t>$3,200 Legal Fee paid in FY2013 and $23,500 Legal Fee paid in FY2015</t>
  </si>
  <si>
    <t>$62,788.00 Origination Fee, payable 7/15/2015 (to be included in 2016 NA/Plainville Shares)</t>
  </si>
  <si>
    <t>RESCINDED - 3/28/2016 STM Art. 6 $61,400  also see 11/15/2011 GOB</t>
  </si>
  <si>
    <t>RESCINDED - 3/28/2016 STM Art. 6 $61,400  also see 5/1/2014 GOB</t>
  </si>
  <si>
    <t>CW-10-31A  Pool 18 2016 Swap  MCWT  12/13/2016 amended (12/31/2014 original $11,416,000)</t>
  </si>
  <si>
    <t>6/1/2015 ATM Art. 6C #1 $250,000 auth.  Phase II</t>
  </si>
  <si>
    <t>6/2/2014 ATM Art. 6C #2 $250,000 auth.  Phase I</t>
  </si>
  <si>
    <t>4/11/2017 GOB</t>
  </si>
  <si>
    <t>4/11/2017      GRAND TOTALS</t>
  </si>
  <si>
    <t>10/17/2016 SATM Art. 19 $804,352 auth.</t>
  </si>
  <si>
    <t>$352 paid off from Premium</t>
  </si>
  <si>
    <t>Town-wide Technology Plan - IT</t>
  </si>
  <si>
    <t>6/6/2016 ATM Art. 6C #2 $160,000 auth.</t>
  </si>
  <si>
    <t>6/6/2016 ATM Art. 6C #4 $205,265 auth.</t>
  </si>
  <si>
    <t>$265 paid off from premium</t>
  </si>
  <si>
    <t>6/6/2016 ATM Art. 6C #5 $500,000 auth.</t>
  </si>
  <si>
    <t>Downtown Revitalization Project - BPW</t>
  </si>
  <si>
    <t>6/6/2016 ATM Art. 6C #7 $200,000 auth.</t>
  </si>
  <si>
    <t>Sweeper SW1 - Vehicle - BPW</t>
  </si>
  <si>
    <t>6/6/2016 ATM Art. 6C #8 $240,000 auth.</t>
  </si>
  <si>
    <t>6/6/2016 ATM Art. 6C #9 $300,000 auth.</t>
  </si>
  <si>
    <t>Community School Gym Windows - School</t>
  </si>
  <si>
    <t>6/6/2016 ATM Art. 6C #10 $250,000 auth. reduced to $158,000 auth.</t>
  </si>
  <si>
    <t>6/6/2016 ATM Art. 6C #11 $95,000 auth.</t>
  </si>
  <si>
    <t>Field Use Needs - School</t>
  </si>
  <si>
    <t>6/6/2016 ATM Art. 6C #12 $800,000 auth.</t>
  </si>
  <si>
    <t>RESCINDED 6/1/2015 ATM Art. 6C #13 $400,000</t>
  </si>
  <si>
    <t>NPDES Phase II Permit Assistance - DPW - BPW</t>
  </si>
  <si>
    <t>6/4/2012 ATM Art. 6 part 3 #10 $50,000 auth.</t>
  </si>
  <si>
    <t>$79,310.63 Premium</t>
  </si>
  <si>
    <t>2.256156% True Int. Cost</t>
  </si>
  <si>
    <t>$46,562.09 Iss. Cost = $4,000 USBank, $10,925 S&amp;P, $863.09 Off Stat &amp; Cont Disc, $18,050 Legal, $12,724 Bank</t>
  </si>
  <si>
    <t>7/17/2017 STM Art. 1 $170,000 auth.</t>
  </si>
  <si>
    <t>$424,748.45 Premium</t>
  </si>
  <si>
    <t>2.795551% True Int. Cost</t>
  </si>
  <si>
    <t>Roosevelt Ave. School Roof Repair</t>
  </si>
  <si>
    <t>Whitings Pond Dam 2015 Project - Conservation</t>
  </si>
  <si>
    <t>6/5/2017 ATM Art. 6C #1 $140,000 auth.</t>
  </si>
  <si>
    <t>6/5/2017 ATM Art. 6C #2 $172,200 auth.</t>
  </si>
  <si>
    <t>Refurbish Engine 4 - Vehicle - Fire</t>
  </si>
  <si>
    <t>6/5/2017 ATM Art. 6C #3 $232,000 auth.</t>
  </si>
  <si>
    <t>Athletic Field Upgrades - School</t>
  </si>
  <si>
    <t>6/5/2017 ATM Art. 6C #4 $500,000 auth.</t>
  </si>
  <si>
    <t>6/5/2017 ATM Art. 6C #5 $350,000 auth.</t>
  </si>
  <si>
    <t>6/5/2017 ATM Art. 6C #6 $65,000 auth.</t>
  </si>
  <si>
    <t>6/5/2017 ATM Art. 6C #7 $75,000 auth.</t>
  </si>
  <si>
    <t>6/5/2017 ATM Art. 6C #8 $500,000 auth.</t>
  </si>
  <si>
    <t>Chestnut St. Bridge (replace) - BPW</t>
  </si>
  <si>
    <t>$500,000 auth/unissued - received State grant for $500,000</t>
  </si>
  <si>
    <t>Highway Salt Shed - Highway - BPW</t>
  </si>
  <si>
    <t>6/5/2017 ATM Art. 6C #10 $475,000 auth.</t>
  </si>
  <si>
    <t>Roadside Mowing Tractor - Vehicle - Highway - BPW</t>
  </si>
  <si>
    <t>6/5/2017 ATM Art. 6C #11 $130,000 auth.</t>
  </si>
  <si>
    <t>Mason Field House Windows, Siding, and Roof - Park &amp; Rec.</t>
  </si>
  <si>
    <t>6/5/2017 ATM Art. 6C #12 $32,000 auth.</t>
  </si>
  <si>
    <t>$1,200 paid off from premium</t>
  </si>
  <si>
    <t>6/5/2017 ATM Art. 6C #13 $850,000 auth.</t>
  </si>
  <si>
    <t>6/5/2017 ATM Art. 6C #14 $1,000,000 auth.</t>
  </si>
  <si>
    <t>Adamsdale Well Rehabilitation</t>
  </si>
  <si>
    <t>6/5/2017 ATM Art. 6C #15 $1,100,000 auth.</t>
  </si>
  <si>
    <t>6/1/2015 ATM Art. 6C #9 $250,000 auth.  Phase I</t>
  </si>
  <si>
    <t>6/6/2016 ATM Art. 6C #6 $250,000 auth.  Phase I</t>
  </si>
  <si>
    <t>6/3/2019 GOB</t>
  </si>
  <si>
    <t>Air Conditioning - Town Hall - BOS - Remodeling</t>
  </si>
  <si>
    <t>10/15/2018 SATM Art. 6 $125,000 auth.</t>
  </si>
  <si>
    <t>6/4/2018 ATM Art. 6C #2 $176,977 auth.</t>
  </si>
  <si>
    <t>6/4/2018 ATM Art. 6C #3 $50,000 auth.</t>
  </si>
  <si>
    <t>6/4/2018 ATM Art. 6C #4 $400,000 auth.</t>
  </si>
  <si>
    <t>6/4/2018 ATM Art. 6C #5 $100,000 auth.</t>
  </si>
  <si>
    <t>Truck with Plow - Vehicle - School</t>
  </si>
  <si>
    <t>6/4/2018 ATM Art. 6C #6 $55,000 auth.</t>
  </si>
  <si>
    <t>Playgrounds - School</t>
  </si>
  <si>
    <t>6/4/2018 ATM Art. 6C #7 $60,000 auth.</t>
  </si>
  <si>
    <t>6/4/2018 ATM Art. 6C #8 $500,000 auth.</t>
  </si>
  <si>
    <t>6/4/2018 ATM Art. 6C #9 $250,000 auth.  Phase II</t>
  </si>
  <si>
    <t>6/4/2018 ATM Art. 6C #10 $200,000 auth.</t>
  </si>
  <si>
    <t>Cushman St. Bridge (design) - BPW</t>
  </si>
  <si>
    <t>6/4/2018 ATM Art. 6C #11 $150,000 auth.</t>
  </si>
  <si>
    <t>6/4/2018 ATM Art. 6C #12 $1,500,000 auth.  Phase II</t>
  </si>
  <si>
    <t>Replace Windows - Library - Remodeling</t>
  </si>
  <si>
    <t>6/4/2018 ATM Art. 6C #13 $130,000 auth.</t>
  </si>
  <si>
    <t>Tractor - Four Deck Mower - Vehicle - Park &amp; Rec</t>
  </si>
  <si>
    <t>6/4/2018 ATM Art. 6C #14 $55,000 auth.</t>
  </si>
  <si>
    <t>6/4/2018 ATM Art. 6C #15 $1,000,000 auth.</t>
  </si>
  <si>
    <t>6/4/2018 ATM Art. 6C #16 $1,300,000 auth.</t>
  </si>
  <si>
    <t>6/3/2019      GRAND TOTALS</t>
  </si>
  <si>
    <t>$10,000 paid off from premium</t>
  </si>
  <si>
    <t>$11,977 paid off from premium</t>
  </si>
  <si>
    <t>$30,000 paid off from premium</t>
  </si>
  <si>
    <t>$5,000 paid off from premium</t>
  </si>
  <si>
    <t>$35,000 paid off from premium</t>
  </si>
  <si>
    <t>$15,000 paid off from premium</t>
  </si>
  <si>
    <t>$105,000 paid off from premium</t>
  </si>
  <si>
    <t>$55,000 paid off from premium</t>
  </si>
  <si>
    <t>$70,000 paid off from premium</t>
  </si>
  <si>
    <t>$6,050,000 Original Issue Amount  -  $371,977 paid off from premium</t>
  </si>
  <si>
    <t>2.2382% True Int. Cost</t>
  </si>
  <si>
    <t>$475,811.73 Premium</t>
  </si>
  <si>
    <t>Smith St. Office Heater Replacement - Highway - BPW</t>
  </si>
  <si>
    <t>$246,977 paid off from premium</t>
  </si>
  <si>
    <t>6/6/2011 STM Art. 13 supplement to 1/10/2011 STM Art. 14 $710,000 auth. 1 of 2  see 5/15/2013 GOB</t>
  </si>
  <si>
    <t>70167</t>
  </si>
  <si>
    <t>70172</t>
  </si>
  <si>
    <t>70185</t>
  </si>
  <si>
    <t>70186</t>
  </si>
  <si>
    <t>70187</t>
  </si>
  <si>
    <t>70192</t>
  </si>
  <si>
    <t>70206</t>
  </si>
  <si>
    <t>70196</t>
  </si>
  <si>
    <t>70198</t>
  </si>
  <si>
    <t>70211</t>
  </si>
  <si>
    <t>70212</t>
  </si>
  <si>
    <t>70213</t>
  </si>
  <si>
    <t>70215</t>
  </si>
  <si>
    <t>70214</t>
  </si>
  <si>
    <t>70216</t>
  </si>
  <si>
    <t>70225</t>
  </si>
  <si>
    <t>70230</t>
  </si>
  <si>
    <t>70244</t>
  </si>
  <si>
    <t>70246</t>
  </si>
  <si>
    <t>70247</t>
  </si>
  <si>
    <t>70243</t>
  </si>
  <si>
    <t>70245</t>
  </si>
  <si>
    <t>70256</t>
  </si>
  <si>
    <t>70252</t>
  </si>
  <si>
    <t>70254</t>
  </si>
  <si>
    <t>70255</t>
  </si>
  <si>
    <t>70263</t>
  </si>
  <si>
    <t>70259</t>
  </si>
  <si>
    <t>70265</t>
  </si>
  <si>
    <t>70264</t>
  </si>
  <si>
    <t>70275</t>
  </si>
  <si>
    <t>70282</t>
  </si>
  <si>
    <t>70285</t>
  </si>
  <si>
    <t>70289</t>
  </si>
  <si>
    <t>70296</t>
  </si>
  <si>
    <t>70298</t>
  </si>
  <si>
    <t>70299</t>
  </si>
  <si>
    <t>70300</t>
  </si>
  <si>
    <t>70301</t>
  </si>
  <si>
    <t>70307</t>
  </si>
  <si>
    <t>70314</t>
  </si>
  <si>
    <t>70319</t>
  </si>
  <si>
    <t>70322</t>
  </si>
  <si>
    <t>70325</t>
  </si>
  <si>
    <t>70333</t>
  </si>
  <si>
    <t>70315</t>
  </si>
  <si>
    <t>70326</t>
  </si>
  <si>
    <t>70336</t>
  </si>
  <si>
    <t>70320</t>
  </si>
  <si>
    <t>70342</t>
  </si>
  <si>
    <t>70341</t>
  </si>
  <si>
    <t>70344</t>
  </si>
  <si>
    <t>70345</t>
  </si>
  <si>
    <t>70346</t>
  </si>
  <si>
    <t>70347</t>
  </si>
  <si>
    <t>70348</t>
  </si>
  <si>
    <t>70349</t>
  </si>
  <si>
    <t>70350</t>
  </si>
  <si>
    <t>70351</t>
  </si>
  <si>
    <t>70352</t>
  </si>
  <si>
    <t>70353</t>
  </si>
  <si>
    <t>70354</t>
  </si>
  <si>
    <t>70355</t>
  </si>
  <si>
    <t>70356</t>
  </si>
  <si>
    <t>70357</t>
  </si>
  <si>
    <t>70358</t>
  </si>
  <si>
    <t>70359</t>
  </si>
  <si>
    <t>70361</t>
  </si>
  <si>
    <t>70362</t>
  </si>
  <si>
    <t>70363</t>
  </si>
  <si>
    <t>70364</t>
  </si>
  <si>
    <t>70365</t>
  </si>
  <si>
    <t>70366</t>
  </si>
  <si>
    <t>70367</t>
  </si>
  <si>
    <t>70368</t>
  </si>
  <si>
    <t>70369</t>
  </si>
  <si>
    <t>70371</t>
  </si>
  <si>
    <t>70372</t>
  </si>
  <si>
    <t>70373</t>
  </si>
  <si>
    <t>70374</t>
  </si>
  <si>
    <t>70375</t>
  </si>
  <si>
    <t>70376</t>
  </si>
  <si>
    <t>70377</t>
  </si>
  <si>
    <t>70380</t>
  </si>
  <si>
    <t>70379</t>
  </si>
  <si>
    <t>70381</t>
  </si>
  <si>
    <t>70382</t>
  </si>
  <si>
    <t>70383</t>
  </si>
  <si>
    <t>70378</t>
  </si>
  <si>
    <t>70384</t>
  </si>
  <si>
    <t>70385</t>
  </si>
  <si>
    <t>70387</t>
  </si>
  <si>
    <t>70388</t>
  </si>
  <si>
    <t>70396</t>
  </si>
  <si>
    <t>70394</t>
  </si>
  <si>
    <t>70397</t>
  </si>
  <si>
    <t>70395</t>
  </si>
  <si>
    <t>70391</t>
  </si>
  <si>
    <t>70390</t>
  </si>
  <si>
    <t>70392</t>
  </si>
  <si>
    <t>70389</t>
  </si>
  <si>
    <t>70393</t>
  </si>
  <si>
    <t>70398</t>
  </si>
  <si>
    <t>70399</t>
  </si>
  <si>
    <t>70400</t>
  </si>
  <si>
    <t>70401</t>
  </si>
  <si>
    <t>70402</t>
  </si>
  <si>
    <t>70403</t>
  </si>
  <si>
    <t>70404</t>
  </si>
  <si>
    <t>70405</t>
  </si>
  <si>
    <t>70406</t>
  </si>
  <si>
    <t>70407</t>
  </si>
  <si>
    <t>70408</t>
  </si>
  <si>
    <t>70409</t>
  </si>
  <si>
    <t>70410</t>
  </si>
  <si>
    <t>70411</t>
  </si>
  <si>
    <t>70412</t>
  </si>
  <si>
    <t>70413</t>
  </si>
  <si>
    <t>70414</t>
  </si>
  <si>
    <t>70415</t>
  </si>
  <si>
    <t>70416</t>
  </si>
  <si>
    <t>70417</t>
  </si>
  <si>
    <t>70418</t>
  </si>
  <si>
    <t>70419</t>
  </si>
  <si>
    <t>70420</t>
  </si>
  <si>
    <t>70421</t>
  </si>
  <si>
    <t>70422</t>
  </si>
  <si>
    <t>70423</t>
  </si>
  <si>
    <t>70424</t>
  </si>
  <si>
    <t>70425</t>
  </si>
  <si>
    <t>70426</t>
  </si>
  <si>
    <t>70427</t>
  </si>
  <si>
    <t>70428</t>
  </si>
  <si>
    <t>70429</t>
  </si>
  <si>
    <t>70043</t>
  </si>
  <si>
    <t>70044</t>
  </si>
  <si>
    <t>70037</t>
  </si>
  <si>
    <t>70038</t>
  </si>
  <si>
    <t>70042</t>
  </si>
  <si>
    <t>70045</t>
  </si>
  <si>
    <t>70078</t>
  </si>
  <si>
    <t>70079</t>
  </si>
  <si>
    <t>70080</t>
  </si>
  <si>
    <t>70094</t>
  </si>
  <si>
    <t>70101</t>
  </si>
  <si>
    <t>70169</t>
  </si>
  <si>
    <t>70188</t>
  </si>
  <si>
    <t>70250</t>
  </si>
  <si>
    <t>70249</t>
  </si>
  <si>
    <t>70251</t>
  </si>
  <si>
    <t>70248</t>
  </si>
  <si>
    <t>70309</t>
  </si>
  <si>
    <t>70257</t>
  </si>
  <si>
    <t>70269</t>
  </si>
  <si>
    <t>70193</t>
  </si>
  <si>
    <t>70323</t>
  </si>
  <si>
    <t>70324</t>
  </si>
  <si>
    <t>70328</t>
  </si>
  <si>
    <t>70327</t>
  </si>
  <si>
    <t>10 years</t>
  </si>
  <si>
    <t>5 years</t>
  </si>
  <si>
    <t>15 years</t>
  </si>
  <si>
    <t>20 years</t>
  </si>
  <si>
    <t>14 years</t>
  </si>
  <si>
    <t>3 years</t>
  </si>
  <si>
    <t>4 years</t>
  </si>
  <si>
    <t>6-Wheel Dump Truck w/ Plow - Vehicle - Highway - BPW</t>
  </si>
  <si>
    <t>6/3/2019 ATM Art. 6C #7 $215,000 auth.</t>
  </si>
  <si>
    <t>4.5%</t>
  </si>
  <si>
    <t>5%</t>
  </si>
  <si>
    <t>4%</t>
  </si>
  <si>
    <t>2%</t>
  </si>
  <si>
    <t>4.125%</t>
  </si>
  <si>
    <t>3%</t>
  </si>
  <si>
    <t>2.37%</t>
  </si>
  <si>
    <t>2.3%</t>
  </si>
  <si>
    <t>2.8%</t>
  </si>
  <si>
    <t>3.3%</t>
  </si>
  <si>
    <t>2.25%</t>
  </si>
  <si>
    <t>0%</t>
  </si>
  <si>
    <t>2.75%</t>
  </si>
  <si>
    <t>4/15/2021 GOB</t>
  </si>
  <si>
    <t>Townwide Radio System - Upgrade</t>
  </si>
  <si>
    <t>6/10/2020 TC Measure 2020-074 $800,000 auth.</t>
  </si>
  <si>
    <t>?%</t>
  </si>
  <si>
    <t>$45,000 paid off from premium</t>
  </si>
  <si>
    <t>4/15/2021      GRAND TOTALS</t>
  </si>
  <si>
    <t>1.423% True Int. Cost</t>
  </si>
  <si>
    <t>12/16/2019 TC Measure 2020-045B $1,300,000 auth.</t>
  </si>
  <si>
    <t>Community School Roof - Replacement - School</t>
  </si>
  <si>
    <t xml:space="preserve">$75,000 paid off from premium </t>
  </si>
  <si>
    <t>High School Track - Replacement - School</t>
  </si>
  <si>
    <t>6/3/2019 ATM Art. 6C #1 $150,000 auth.</t>
  </si>
  <si>
    <t>Ceiling Tile Replace - Town Hall - BOS - Remodeling</t>
  </si>
  <si>
    <t xml:space="preserve">$15,000 paid off from premium </t>
  </si>
  <si>
    <t>6/3/2019 ATM Art. 6C #2 $110,000 auth.</t>
  </si>
  <si>
    <t>Lighting Replace w/ LED - Town Hall - BOS - Remodeling</t>
  </si>
  <si>
    <t xml:space="preserve">$10,000 paid off from premium </t>
  </si>
  <si>
    <t>6/3/2019 ATM Art. 6C #4 $500,000 auth.</t>
  </si>
  <si>
    <t xml:space="preserve">$35,000 paid off from premium </t>
  </si>
  <si>
    <t>6/3/2019 ATM Art. 6C #5 $200,000 auth.</t>
  </si>
  <si>
    <t>6/3/2019 ATM Art. 6C #18 $425,000 auth.</t>
  </si>
  <si>
    <t>Well Replacement</t>
  </si>
  <si>
    <t>6/3/2019 ATM Art. 6C #20 $750,000 auth.</t>
  </si>
  <si>
    <t>$40,000 paid off from premium</t>
  </si>
  <si>
    <t>$130,000 paid off from premium</t>
  </si>
  <si>
    <t>6/5/2017 ATM Art. 6C #9 $1,000,000 auth.  Phase I</t>
  </si>
  <si>
    <t>6/5/2017 ATM Art. 6C #9 $1,000,000 auth.  Phase II</t>
  </si>
  <si>
    <t xml:space="preserve">$30,000 paid off from premium </t>
  </si>
  <si>
    <t>6/6/2016 ATM Art. 6C #1 $250,000 auth.  Phase III</t>
  </si>
  <si>
    <t>$290,795 paid off from premium</t>
  </si>
  <si>
    <t>$5,940,000 Original Issue Amount  -  $420,795 paid off from premium</t>
  </si>
  <si>
    <t>$532,896.46 Adj. Premium</t>
  </si>
  <si>
    <t>10/13/2021 TC Measure 2022-016 $5,200,000 auth.  Phase I</t>
  </si>
  <si>
    <t>Rudon Sewer Extension - Betterment</t>
  </si>
  <si>
    <t>9/22/2021 TC Measure 2022-015 $221,000 auth.</t>
  </si>
  <si>
    <t xml:space="preserve">$6,000 paid off from premium </t>
  </si>
  <si>
    <t>268 Smith St. Property Purchase - BPW</t>
  </si>
  <si>
    <t>9/8/2021 TC Measure 2022-012 $580,000 auth.</t>
  </si>
  <si>
    <t xml:space="preserve">$25,000 paid off from premium </t>
  </si>
  <si>
    <t>Loader, Front end w/ Bucket &amp; Plow - Heavy Equipment - Vehicle - Highway - BPW</t>
  </si>
  <si>
    <t>6/7/2021 TC Measure 2021-053 #2 $315,000 auth.</t>
  </si>
  <si>
    <t xml:space="preserve">$20,000 paid off from premium </t>
  </si>
  <si>
    <t>6/7/2021 TC Measure 2021-053 #3 $215,000 auth.</t>
  </si>
  <si>
    <t>Aerial Ladder 1 Replacement - Vehicle - Fire</t>
  </si>
  <si>
    <t>6/7/2021 TC Measure 2021-053 #4 $1,280,000 auth.</t>
  </si>
  <si>
    <t xml:space="preserve">$115,000 paid off from premium </t>
  </si>
  <si>
    <t>Engine 4 Replacement - Vehicle - Fire</t>
  </si>
  <si>
    <t>6/7/2021 TC Measure 2021-053 #5 $795,000 auth.</t>
  </si>
  <si>
    <t xml:space="preserve">$70,000 paid off from premium </t>
  </si>
  <si>
    <t>Backhoe Replacement - Vehicle - Park &amp; Rec</t>
  </si>
  <si>
    <t>6/7/2021 TC Measure 2021-053 #7 $120,000 auth.</t>
  </si>
  <si>
    <t>9 years</t>
  </si>
  <si>
    <t>CAD/RMS Software - Police</t>
  </si>
  <si>
    <t>6/7/2021 TC Measure 2021-053 #8 $350,000 auth.</t>
  </si>
  <si>
    <t>Energy Mgt System - Front End Actuators - School</t>
  </si>
  <si>
    <r>
      <t xml:space="preserve">6/7/2021 TC Measure 2021-053 #9 $75,000 auth. </t>
    </r>
    <r>
      <rPr>
        <sz val="10"/>
        <color rgb="FFFF0000"/>
        <rFont val="Times New Roman"/>
        <family val="1"/>
      </rPr>
      <t>RESCIND $50,000</t>
    </r>
  </si>
  <si>
    <t>School - Building</t>
  </si>
  <si>
    <t>Energy Mgt System - School</t>
  </si>
  <si>
    <r>
      <t xml:space="preserve">6/7/2021 TC Measure 2021-053 #10 $400,000 auth. </t>
    </r>
    <r>
      <rPr>
        <sz val="10"/>
        <color rgb="FFFF0000"/>
        <rFont val="Times New Roman"/>
        <family val="1"/>
      </rPr>
      <t>RESCIND $300,000</t>
    </r>
  </si>
  <si>
    <t xml:space="preserve">$5,000 paid off from premium </t>
  </si>
  <si>
    <t>HVAC - Air Handling Units - School</t>
  </si>
  <si>
    <t>6/7/2021 TC Measure 2021-053 #11 $100,000 auth.</t>
  </si>
  <si>
    <t>High School Bleachers - Replacement - School</t>
  </si>
  <si>
    <t>6/7/2021 TC Measure 2021-053 #12 $1,000,000 auth.</t>
  </si>
  <si>
    <t>Sewer - Disinfection Conversion to Sodium Hypochlorite</t>
  </si>
  <si>
    <t>6/7/2021 TC Measure 2021-058 #1 $600,000 auth.</t>
  </si>
  <si>
    <t>Sewer - WWTF Headworks Building - Remodeling</t>
  </si>
  <si>
    <t>6/7/2021 TC Measure 2021-058 #2 $300,000 auth.</t>
  </si>
  <si>
    <t>Sewer - WWTF Headworks Building - HVAC Remodeling</t>
  </si>
  <si>
    <t>6/7/2021 TC Measure 2021-058 #3 $920,000 auth.</t>
  </si>
  <si>
    <r>
      <t xml:space="preserve">6/7/2021 TC Measure 2021-060 #1 $265,000 auth. </t>
    </r>
    <r>
      <rPr>
        <sz val="10"/>
        <color rgb="FFFF0000"/>
        <rFont val="Times New Roman"/>
        <family val="1"/>
      </rPr>
      <t>RESCIND $117,000</t>
    </r>
  </si>
  <si>
    <t xml:space="preserve">$13,000 paid off from premium </t>
  </si>
  <si>
    <t>PLC &amp; Radio System Upgrade</t>
  </si>
  <si>
    <t>6/7/2021 TC Measure 2021-060 #2 $250,000 auth.</t>
  </si>
  <si>
    <t>$60,000 paid off from premium</t>
  </si>
  <si>
    <t>6/3/2019 ATM Art. 6C #19 $1,000,000 auth.</t>
  </si>
  <si>
    <t xml:space="preserve">$40,000 paid off from premium </t>
  </si>
  <si>
    <t>4/6/2022 GOB</t>
  </si>
  <si>
    <t>4/6/2022      GRAND TOTALS</t>
  </si>
  <si>
    <t>6/10/2020 TC Measure 2020-069 $1,100,000 auth. 1 of 2  see 4/6/2022 GOB</t>
  </si>
  <si>
    <r>
      <t>$60,000 paid off from premium</t>
    </r>
    <r>
      <rPr>
        <sz val="10"/>
        <rFont val="Times New Roman"/>
        <family val="1"/>
      </rPr>
      <t xml:space="preserve">                                                        ONLY BORROW $600,000</t>
    </r>
  </si>
  <si>
    <r>
      <t>$15,000 paid off from premium</t>
    </r>
    <r>
      <rPr>
        <sz val="10"/>
        <rFont val="Times New Roman"/>
        <family val="1"/>
      </rPr>
      <t xml:space="preserve">                                                        ONLY BORROW $150,000</t>
    </r>
  </si>
  <si>
    <t>12/16/2019 TC Measure 2020-045C $800,000 auth. 1 of 2  see 4/6/2022 GOB</t>
  </si>
  <si>
    <r>
      <t xml:space="preserve">$20,795 paid off from premium </t>
    </r>
    <r>
      <rPr>
        <sz val="10"/>
        <rFont val="Times New Roman"/>
        <family val="1"/>
      </rPr>
      <t xml:space="preserve">                                                            $205,795 BAN 6/2/2020</t>
    </r>
  </si>
  <si>
    <t>6/10/2020 TC Measure 2020-069 $1,100,000 auth. 2 of 2  see 4/15/2021 GOB</t>
  </si>
  <si>
    <t>12/16/2019 TC Measure 2020-045C $800,000 auth. 2 of 2  see 4/15/2021 GOB</t>
  </si>
  <si>
    <t>$10,120,000 Original Issue Amount  -  $647,455 paid off from premium</t>
  </si>
  <si>
    <t>2.582% True Int. Cost</t>
  </si>
  <si>
    <t>$773,759.89 Adj. Premium</t>
  </si>
  <si>
    <t>$28,455 paid off from premium - remaining $4,541,545 paid by DWP-22-01</t>
  </si>
  <si>
    <t>70435</t>
  </si>
  <si>
    <t>70461</t>
  </si>
  <si>
    <t>70462</t>
  </si>
  <si>
    <t>70463</t>
  </si>
  <si>
    <t>70464</t>
  </si>
  <si>
    <t>70446</t>
  </si>
  <si>
    <t>70447</t>
  </si>
  <si>
    <t>70448</t>
  </si>
  <si>
    <t>70449</t>
  </si>
  <si>
    <t>70450</t>
  </si>
  <si>
    <t>70451</t>
  </si>
  <si>
    <t>70452</t>
  </si>
  <si>
    <t>70453</t>
  </si>
  <si>
    <t>70454</t>
  </si>
  <si>
    <t>70455</t>
  </si>
  <si>
    <t>70456</t>
  </si>
  <si>
    <t>70457</t>
  </si>
  <si>
    <t>70458</t>
  </si>
  <si>
    <t>70459</t>
  </si>
  <si>
    <t>70460</t>
  </si>
  <si>
    <t>70465</t>
  </si>
  <si>
    <t>70466</t>
  </si>
  <si>
    <t>70430</t>
  </si>
  <si>
    <t>70431</t>
  </si>
  <si>
    <t>70432</t>
  </si>
  <si>
    <t>70434</t>
  </si>
  <si>
    <t>70445</t>
  </si>
  <si>
    <t>70444</t>
  </si>
  <si>
    <t>70443</t>
  </si>
  <si>
    <t>70442</t>
  </si>
  <si>
    <t>70441</t>
  </si>
  <si>
    <t>70440</t>
  </si>
  <si>
    <t>70439</t>
  </si>
  <si>
    <t>70438</t>
  </si>
  <si>
    <t>70437</t>
  </si>
  <si>
    <t>70436</t>
  </si>
  <si>
    <r>
      <t xml:space="preserve">10/18/2004 SATM Art. 30 $800,000 auth.   </t>
    </r>
    <r>
      <rPr>
        <sz val="10"/>
        <color rgb="FFFF0000"/>
        <rFont val="Times New Roman"/>
        <family val="1"/>
      </rPr>
      <t>Reduced interest payment in FY2023 from $3,900 to $3,400 - US Bank clerical error</t>
    </r>
  </si>
  <si>
    <r>
      <t>12/6/2004 STM Art. 18 $239,000 auth. ($7,000 issuance costs)</t>
    </r>
    <r>
      <rPr>
        <sz val="10"/>
        <color rgb="FFFF0000"/>
        <rFont val="Times New Roman"/>
        <family val="1"/>
      </rPr>
      <t xml:space="preserve">   Reduced interest payment in FY2023 from $1,800 to $1,600 - US Bank clerical error</t>
    </r>
  </si>
  <si>
    <r>
      <t>10/18/2004 SATM Art. 26 $1,258,768 auth. ($36,663 project/issuance costs)</t>
    </r>
    <r>
      <rPr>
        <sz val="10"/>
        <color rgb="FFFF0000"/>
        <rFont val="Times New Roman"/>
        <family val="1"/>
      </rPr>
      <t xml:space="preserve">   Reduced interest payment in FY2023 from $10,800 to $9,600 - US Bank clerical error</t>
    </r>
  </si>
  <si>
    <t>4/27/2023 GOB</t>
  </si>
  <si>
    <t>$7,815,000 Original Issue Amount  -  $658,000 paid off from premium</t>
  </si>
  <si>
    <t>4/27/2023      GRAND TOTALS</t>
  </si>
  <si>
    <t>2.918% True Int. Cost</t>
  </si>
  <si>
    <t>High School Outdoor Athletic Complex - School</t>
  </si>
  <si>
    <t>6/30/2022 TC Measure 2022-109 $5,000,000 auth.</t>
  </si>
  <si>
    <r>
      <t>$255,000 paid off from premium</t>
    </r>
    <r>
      <rPr>
        <sz val="10"/>
        <rFont val="Times New Roman"/>
        <family val="1"/>
      </rPr>
      <t xml:space="preserve">                                                        ONLY BORROW $2,500,000</t>
    </r>
  </si>
  <si>
    <t>NAPD Police HQ HVAC Replacement</t>
  </si>
  <si>
    <t>6/6/2022 TC Measure 2022-066 $2,300,000 auth.</t>
  </si>
  <si>
    <t xml:space="preserve">$190,000 paid off from premium </t>
  </si>
  <si>
    <r>
      <t>$30,000 paid off from premium</t>
    </r>
    <r>
      <rPr>
        <sz val="10"/>
        <rFont val="Times New Roman"/>
        <family val="1"/>
      </rPr>
      <t xml:space="preserve">                                                             ONLY BORROW $500,000</t>
    </r>
  </si>
  <si>
    <t>Town-wide Telephone System - Upgrade</t>
  </si>
  <si>
    <t>6/7/2021 TC Measure 2021-053 #6 $1,000,000 auth.</t>
  </si>
  <si>
    <t xml:space="preserve">$80,000 paid off from premium </t>
  </si>
  <si>
    <t>6/10/2020 TC Measure 2020-072 $1,000,000 auth.</t>
  </si>
  <si>
    <t>Town-wide Control System Upgrade - Water</t>
  </si>
  <si>
    <t>6/6/2022 TC Measure 2022-075 #2 $210,000 auth.</t>
  </si>
  <si>
    <t>$80,000 paid off from premium</t>
  </si>
  <si>
    <t>Fiber Drop to WTF &amp; McKeon Plant - Water</t>
  </si>
  <si>
    <t>6/6/2022 TC Measure 2022-075 #3 $150,000 auth.</t>
  </si>
  <si>
    <t>Meter Reading System Upgrade - Water</t>
  </si>
  <si>
    <t>6/6/2022 TC Measure 2022-075 #5 $100,000 auth.</t>
  </si>
  <si>
    <t>Vehicle Replacement - Water</t>
  </si>
  <si>
    <t>6/6/2022 TC Measure 2022-075 #6 $60,000 auth.</t>
  </si>
  <si>
    <t>6/6/2022 TC Measure 2022-075 #4 $998,000 auth.</t>
  </si>
  <si>
    <t xml:space="preserve">$83,000 from premium proceeds </t>
  </si>
  <si>
    <t>$103,000 paid off from premium</t>
  </si>
  <si>
    <t>$475,000 paid off from premium</t>
  </si>
  <si>
    <t>$756,885.84 Adj. Premium</t>
  </si>
  <si>
    <t>70467</t>
  </si>
  <si>
    <t>70468</t>
  </si>
  <si>
    <t>70469</t>
  </si>
  <si>
    <t>70470</t>
  </si>
  <si>
    <t>70471</t>
  </si>
  <si>
    <t>70472</t>
  </si>
  <si>
    <t>70473</t>
  </si>
  <si>
    <t>70474</t>
  </si>
  <si>
    <t>70475</t>
  </si>
  <si>
    <t>70270</t>
  </si>
  <si>
    <t>PFAs Removal &amp; Fluoride Injection (Adamsdale)</t>
  </si>
  <si>
    <t>$131,000 paid off from premium    Reduced interest payment in FY2023 from $114,419.97 to $100,167.80 - Use of premium</t>
  </si>
  <si>
    <t>$460,000 paid off from premium    Reduced interest payment in FY2023 from $260,703.12 to $233,423.70 - Use of premium</t>
  </si>
  <si>
    <t>$56,455 paid off from premium    Reduced interest payment in FY2023 from $42,353.48 to $37,455.92 - Use of premium</t>
  </si>
  <si>
    <t>$35,000 paid off from premium    Increased first interest payment in FY2023 by $0.01 per US Bank invoice</t>
  </si>
  <si>
    <r>
      <t>$25,000 paid off from premium</t>
    </r>
    <r>
      <rPr>
        <sz val="10"/>
        <color rgb="FFFF0000"/>
        <rFont val="Times New Roman"/>
        <family val="1"/>
      </rPr>
      <t xml:space="preserve">                       First interest payment reduced by $0.01 to account for rounding</t>
    </r>
  </si>
  <si>
    <t>DWP-22-01</t>
  </si>
  <si>
    <t>DWP-22-01  Pool 25  MCWT  11/21/2023  PFAs Removal &amp; Fluoride Injection (Adamsdale)</t>
  </si>
  <si>
    <t>Also see 4/6/2022 $630,000 GOB issuance with $28,455 paid off from premium</t>
  </si>
  <si>
    <t xml:space="preserve">FYI: </t>
  </si>
  <si>
    <r>
      <t xml:space="preserve">$4,541,545 less $1,435,128 loan forgiveness = $3,106,417 </t>
    </r>
    <r>
      <rPr>
        <sz val="10"/>
        <color rgb="FF7030A0"/>
        <rFont val="Times New Roman"/>
        <family val="1"/>
      </rPr>
      <t>Purple = rounding errors on MCWT Debt Schedule</t>
    </r>
  </si>
  <si>
    <t>6/5/2024 GOB</t>
  </si>
  <si>
    <t>Library Refurbishment</t>
  </si>
  <si>
    <t>6/12/2023 TC Measure 2023-066 #1 $2,100,000 auth.</t>
  </si>
  <si>
    <t xml:space="preserve">$110,000 paid off from premium </t>
  </si>
  <si>
    <t>6/12/2023 TC Measure 2023-066 #2 $1,000,000 auth.</t>
  </si>
  <si>
    <r>
      <t xml:space="preserve">$30,000 paid off from premium </t>
    </r>
    <r>
      <rPr>
        <sz val="10"/>
        <rFont val="Times New Roman"/>
        <family val="1"/>
      </rPr>
      <t xml:space="preserve">                                                            ONLY BORROW $500,000</t>
    </r>
  </si>
  <si>
    <t>Amvet School Roof - Replacement - School</t>
  </si>
  <si>
    <t>4/8/2024 TC Measure 2024-082 increase auth. to $3,500,000 and add ADA compliance</t>
  </si>
  <si>
    <r>
      <t xml:space="preserve">6/12/2023 TC Measure 2023-066 #4 $2,400,000 auth.                </t>
    </r>
    <r>
      <rPr>
        <sz val="10"/>
        <color rgb="FFFF0000"/>
        <rFont val="Times New Roman"/>
        <family val="1"/>
      </rPr>
      <t>$180,000 paid off from premium</t>
    </r>
  </si>
  <si>
    <t>$320,000 paid off from premium</t>
  </si>
  <si>
    <t>Primary Clarifier - Repair</t>
  </si>
  <si>
    <t>6/12/2023 TC Measure 2023-067 #1 $350,000 auth.</t>
  </si>
  <si>
    <t>SCADA Upgrades</t>
  </si>
  <si>
    <t>6/12/2023 TC Measure 2023-067 #2 $575,000 auth.</t>
  </si>
  <si>
    <t>Grimaldi Pump Station - Rehab</t>
  </si>
  <si>
    <t>6/12/2023 TC Measure 2023-067 #3 $700,000 auth.</t>
  </si>
  <si>
    <t>Pump Station - Upgrades</t>
  </si>
  <si>
    <t>6/12/2023 TC Measure 2023-067 #4 $50,000 auth.</t>
  </si>
  <si>
    <t>Headworks HVAC and Equipment Replacement</t>
  </si>
  <si>
    <t>6/12/2023 TC Measure 2023-067 #5 $1,000,000 auth.</t>
  </si>
  <si>
    <t xml:space="preserve">$50,000 paid off from premium </t>
  </si>
  <si>
    <t>$135,000 paid off from premium</t>
  </si>
  <si>
    <t>Water Main - Replacement</t>
  </si>
  <si>
    <t>6/12/2023 TC Measure 2023-068 #1 $1,050,000 auth.</t>
  </si>
  <si>
    <t xml:space="preserve">$55,000 paid off from premium </t>
  </si>
  <si>
    <t>Whiting St. Valve - Replacement</t>
  </si>
  <si>
    <t>6/12/2023 TC Measure 2023-068 #2 $125,000 auth.</t>
  </si>
  <si>
    <t>Clearwell Baffles - Replacement</t>
  </si>
  <si>
    <t>6/12/2023 TC Measure 2023-068 #3 $300,000 auth.</t>
  </si>
  <si>
    <t>6/12/2023 TC Measure 2023-068 #4 $110,000 auth.</t>
  </si>
  <si>
    <t>$75,000 paid off from premium</t>
  </si>
  <si>
    <t>6/5/2024       GRAND TOTALS</t>
  </si>
  <si>
    <t>$10,360,000 Original Issue Amount  -  $530,000 paid off from premium</t>
  </si>
  <si>
    <t>$49,823.50 Iss. Cost = $4,000 USBank, $9,350 S&amp;P, $1,698.50 Official Statement, $19,500 Legal, $15,275 UFASI</t>
  </si>
  <si>
    <t>$68,187.88 Iss. Cost = $4,500 USBank, $13,775 S&amp;P, $362.88 Off Stat &amp; Cont Disc, $32,000 Legal, $17,550 UFASI</t>
  </si>
  <si>
    <t>$63,175 Iss. Cost = $4,500 USBank, $15,000 S&amp;P, $200 Off Stat, $27,500 Legal, $15,975 UFASI</t>
  </si>
  <si>
    <t>$72,053 Iss. Cost = $4,500 USBank, $15,750 S&amp;P, $1,053 OS, $34,500 Legal, $16,250 UFASI</t>
  </si>
  <si>
    <t>$79,876 Iss. Cost = $4,500 USBank, $18,525 S&amp;P, $1,126 OS, $32,250 Legal, $23,475 UFASI</t>
  </si>
  <si>
    <t>$69,859 Iss. Cost = $4,500 USBank, $17,575 S&amp;P, $1,240 OS, $32,250 Legal, $18,594 UFASI</t>
  </si>
  <si>
    <t>3.4844% True Int. Cost</t>
  </si>
  <si>
    <t>$699,208.50 Adj. Premium</t>
  </si>
  <si>
    <t>$83,165.25 Iss. Cost = $4,500 USBank, $21,850 S&amp;P, $1,240.25 OS, $33,800 Legal, $21,775 UFASI</t>
  </si>
  <si>
    <t>DWP-22-20</t>
  </si>
  <si>
    <t>2/27/2023 TC Measure 2023-040 $10,000,000 auth.</t>
  </si>
  <si>
    <t>44, 8(14)</t>
  </si>
  <si>
    <t>4/3/2018 GOB</t>
  </si>
  <si>
    <t>4/3/2018      GRAND TOTALS</t>
  </si>
  <si>
    <t>70478</t>
  </si>
  <si>
    <t>70477</t>
  </si>
  <si>
    <t>70476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</si>
  <si>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</si>
  <si>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</si>
  <si>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</si>
  <si>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</si>
  <si>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</si>
  <si>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</si>
  <si>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</si>
  <si>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</si>
  <si>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</si>
  <si>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704??</t>
  </si>
  <si>
    <t>$7,250,061 - $2,291,019 loan forgiveness = $4,959,042 - $1,409,943 Fed Funds = $3,549,099</t>
  </si>
  <si>
    <t>DWP-22-20  Pool 26  MCWT  2/6/2025  PFAs Removal &amp; Fluoride Injection (McKeon)</t>
  </si>
  <si>
    <t>see "FY 2026 Debt Worksheet for GL Setup - Revised"</t>
  </si>
  <si>
    <t>5/6/2025 GOB</t>
  </si>
  <si>
    <t>Repair, Replacement, &amp; Maintenance - Roads, Bridges, Sidewalks, &amp; Lots - BPW</t>
  </si>
  <si>
    <t>6/10/2024 TC Measure 2024-099 #1 $700,000 auth.</t>
  </si>
  <si>
    <t>10 Mile (Ten Mile) River Improvements - Dredging - BPW</t>
  </si>
  <si>
    <t>6/10/2024 TC Measure 2024-099 #2 $1,500,000 auth.</t>
  </si>
  <si>
    <t>Falls School HVAC/Boiler - Replacement/Upgrade - School</t>
  </si>
  <si>
    <t>6/10/2024 TC Measure 2024-099 #3 $750,000 auth.</t>
  </si>
  <si>
    <t>$90,000 paid off from premium</t>
  </si>
  <si>
    <t>Disk Filter - Replacement</t>
  </si>
  <si>
    <t>6/10/2024 TC Measure 2024-105 #1 $200,000 auth.</t>
  </si>
  <si>
    <t>Grit Elevator and Screw - Replacement</t>
  </si>
  <si>
    <t>6/10/2024 TC Measure 2024-105 #2 $2,300,000 auth.</t>
  </si>
  <si>
    <t>Diffusers for Aeration System - Replacement</t>
  </si>
  <si>
    <t>6/10/2024 TC Measure 2024-105 #3 $145,000 auth.</t>
  </si>
  <si>
    <t>Kelley Blvd Wells - Replacement &amp; Design</t>
  </si>
  <si>
    <t>6/10/2024 TC Measure 2024-104 #1 $400,000 auth.</t>
  </si>
  <si>
    <t>10-Wheel Dump Truck - Vehicle - Replacement - Water</t>
  </si>
  <si>
    <t>6/10/2024 TC Measure 2024-104 #2 $325,000 auth.</t>
  </si>
  <si>
    <t>5/6/2025       GRAND TOTALS</t>
  </si>
  <si>
    <t>$20,000 paid off from premium</t>
  </si>
  <si>
    <t>3.8722% True Int. Cost</t>
  </si>
  <si>
    <t>$6,320,000 Original Issue Amount  -  $180,000 paid off from premium</t>
  </si>
  <si>
    <t>$57,227.67 Iss. Cost = $4,500 USBank, $18,857 S&amp;P, $1,345.67 OS, $15,800 Legal, $16,725 UFASI</t>
  </si>
  <si>
    <t>$295,351.70 Adj.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</si>
</sst>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0000000"/>
    <numFmt numFmtId="166" formatCode="0.0%"/>
  </numFmts>
  <fonts count="44" x14ac:knownFonts="1">
    <font>
      <sz val="12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2"/>
      <color theme="1"/>
      <name val="Times New Roman"/>
      <family val="2"/>
    </font>
    <font>
      <b/>
      <sz val="10"/>
      <name val="Times New Roman"/>
      <family val="1"/>
    </font>
    <font>
      <sz val="10"/>
      <color theme="1"/>
      <name val="Times New Roman"/>
      <family val="2"/>
    </font>
    <font>
      <sz val="10"/>
      <name val="Times New Roman"/>
      <family val="2"/>
    </font>
    <font>
      <b/>
      <sz val="10"/>
      <name val="Times New Roman"/>
      <family val="2"/>
    </font>
    <font>
      <sz val="10"/>
      <color indexed="10"/>
      <name val="Times New Roman"/>
      <family val="2"/>
    </font>
    <font>
      <b/>
      <sz val="10"/>
      <color indexed="12"/>
      <name val="Times New Roman"/>
      <family val="2"/>
    </font>
    <font>
      <b/>
      <sz val="10"/>
      <color indexed="10"/>
      <name val="Times New Roman"/>
      <family val="2"/>
    </font>
    <font>
      <b/>
      <sz val="10"/>
      <color rgb="FF00B0F0"/>
      <name val="Times New Roman"/>
      <family val="2"/>
    </font>
    <font>
      <b/>
      <sz val="10"/>
      <color theme="0"/>
      <name val="Times New Roman"/>
      <family val="2"/>
    </font>
    <font>
      <b/>
      <sz val="10"/>
      <color theme="1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z val="10"/>
      <name val="Times New Roman"/>
      <family val="1"/>
    </font>
    <font>
      <sz val="10"/>
      <color rgb="FF00B050"/>
      <name val="Times New Roman"/>
      <family val="1"/>
    </font>
    <font>
      <sz val="10"/>
      <color rgb="FF7030A0"/>
      <name val="Times New Roman"/>
      <family val="1"/>
    </font>
    <font>
      <sz val="10"/>
      <color rgb="FF7030A0"/>
      <name val="Times New Roman"/>
      <family val="2"/>
    </font>
    <font>
      <sz val="10"/>
      <color rgb="FF0070C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0" tint="-0.34998626667073579"/>
      <name val="Times New Roman"/>
      <family val="1"/>
    </font>
    <font>
      <b/>
      <sz val="10"/>
      <color rgb="FFFF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theme="5" tint="0.79998168889431442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4A4E0"/>
        <bgColor indexed="64"/>
      </patternFill>
    </fill>
    <fill>
      <patternFill patternType="solid">
        <fgColor rgb="FFF7E5E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2" fillId="0" borderId="0"/>
  </cellStyleXfs>
  <cellXfs count="585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43" fontId="22" fillId="0" borderId="0" xfId="0" applyNumberFormat="1" applyFont="1"/>
    <xf numFmtId="43" fontId="22" fillId="0" borderId="0" xfId="1" applyFont="1"/>
    <xf numFmtId="0" fontId="24" fillId="0" borderId="0" xfId="0" applyFont="1"/>
    <xf numFmtId="43" fontId="23" fillId="0" borderId="0" xfId="0" applyNumberFormat="1" applyFont="1"/>
    <xf numFmtId="0" fontId="26" fillId="0" borderId="0" xfId="0" applyFont="1"/>
    <xf numFmtId="0" fontId="23" fillId="2" borderId="0" xfId="0" applyFont="1" applyFill="1" applyAlignment="1">
      <alignment horizontal="right"/>
    </xf>
    <xf numFmtId="0" fontId="23" fillId="2" borderId="0" xfId="0" applyFont="1" applyFill="1"/>
    <xf numFmtId="43" fontId="22" fillId="0" borderId="1" xfId="0" applyNumberFormat="1" applyFont="1" applyBorder="1"/>
    <xf numFmtId="0" fontId="22" fillId="2" borderId="0" xfId="0" applyFont="1" applyFill="1"/>
    <xf numFmtId="0" fontId="23" fillId="3" borderId="0" xfId="0" applyFont="1" applyFill="1" applyAlignment="1">
      <alignment horizontal="right"/>
    </xf>
    <xf numFmtId="0" fontId="23" fillId="3" borderId="0" xfId="0" applyFont="1" applyFill="1"/>
    <xf numFmtId="0" fontId="22" fillId="3" borderId="0" xfId="0" applyFont="1" applyFill="1"/>
    <xf numFmtId="43" fontId="23" fillId="0" borderId="1" xfId="0" applyNumberFormat="1" applyFont="1" applyBorder="1"/>
    <xf numFmtId="0" fontId="22" fillId="0" borderId="1" xfId="0" applyFont="1" applyBorder="1"/>
    <xf numFmtId="0" fontId="23" fillId="3" borderId="1" xfId="0" applyFont="1" applyFill="1" applyBorder="1"/>
    <xf numFmtId="0" fontId="23" fillId="2" borderId="1" xfId="0" applyFont="1" applyFill="1" applyBorder="1"/>
    <xf numFmtId="0" fontId="23" fillId="0" borderId="1" xfId="0" applyFont="1" applyBorder="1"/>
    <xf numFmtId="43" fontId="22" fillId="0" borderId="1" xfId="1" applyFont="1" applyBorder="1"/>
    <xf numFmtId="43" fontId="23" fillId="0" borderId="2" xfId="0" applyNumberFormat="1" applyFont="1" applyBorder="1"/>
    <xf numFmtId="0" fontId="23" fillId="0" borderId="2" xfId="0" applyFont="1" applyBorder="1"/>
    <xf numFmtId="14" fontId="22" fillId="3" borderId="0" xfId="0" applyNumberFormat="1" applyFont="1" applyFill="1"/>
    <xf numFmtId="14" fontId="22" fillId="2" borderId="0" xfId="0" applyNumberFormat="1" applyFont="1" applyFill="1"/>
    <xf numFmtId="0" fontId="22" fillId="0" borderId="0" xfId="0" applyFont="1" applyAlignment="1">
      <alignment horizontal="center"/>
    </xf>
    <xf numFmtId="43" fontId="22" fillId="0" borderId="3" xfId="0" applyNumberFormat="1" applyFont="1" applyBorder="1"/>
    <xf numFmtId="43" fontId="22" fillId="0" borderId="4" xfId="0" applyNumberFormat="1" applyFont="1" applyBorder="1"/>
    <xf numFmtId="43" fontId="23" fillId="3" borderId="3" xfId="0" applyNumberFormat="1" applyFont="1" applyFill="1" applyBorder="1"/>
    <xf numFmtId="43" fontId="23" fillId="3" borderId="4" xfId="0" applyNumberFormat="1" applyFont="1" applyFill="1" applyBorder="1"/>
    <xf numFmtId="43" fontId="23" fillId="2" borderId="3" xfId="0" applyNumberFormat="1" applyFont="1" applyFill="1" applyBorder="1"/>
    <xf numFmtId="43" fontId="23" fillId="2" borderId="4" xfId="0" applyNumberFormat="1" applyFont="1" applyFill="1" applyBorder="1"/>
    <xf numFmtId="0" fontId="23" fillId="4" borderId="0" xfId="0" applyFont="1" applyFill="1"/>
    <xf numFmtId="14" fontId="22" fillId="4" borderId="0" xfId="0" applyNumberFormat="1" applyFont="1" applyFill="1"/>
    <xf numFmtId="0" fontId="22" fillId="4" borderId="0" xfId="0" applyFont="1" applyFill="1"/>
    <xf numFmtId="0" fontId="23" fillId="4" borderId="0" xfId="0" applyFont="1" applyFill="1" applyAlignment="1">
      <alignment horizontal="right"/>
    </xf>
    <xf numFmtId="43" fontId="23" fillId="4" borderId="3" xfId="0" applyNumberFormat="1" applyFont="1" applyFill="1" applyBorder="1"/>
    <xf numFmtId="0" fontId="23" fillId="4" borderId="1" xfId="0" applyFont="1" applyFill="1" applyBorder="1"/>
    <xf numFmtId="43" fontId="23" fillId="4" borderId="4" xfId="0" applyNumberFormat="1" applyFont="1" applyFill="1" applyBorder="1"/>
    <xf numFmtId="0" fontId="20" fillId="0" borderId="0" xfId="0" applyFont="1"/>
    <xf numFmtId="0" fontId="22" fillId="0" borderId="6" xfId="0" applyFont="1" applyBorder="1"/>
    <xf numFmtId="43" fontId="22" fillId="0" borderId="7" xfId="0" applyNumberFormat="1" applyFont="1" applyBorder="1"/>
    <xf numFmtId="43" fontId="22" fillId="0" borderId="6" xfId="0" applyNumberFormat="1" applyFont="1" applyBorder="1"/>
    <xf numFmtId="0" fontId="23" fillId="4" borderId="6" xfId="0" applyFont="1" applyFill="1" applyBorder="1"/>
    <xf numFmtId="43" fontId="23" fillId="4" borderId="7" xfId="0" applyNumberFormat="1" applyFont="1" applyFill="1" applyBorder="1"/>
    <xf numFmtId="43" fontId="23" fillId="0" borderId="6" xfId="0" applyNumberFormat="1" applyFont="1" applyBorder="1"/>
    <xf numFmtId="0" fontId="23" fillId="0" borderId="6" xfId="0" applyFont="1" applyBorder="1"/>
    <xf numFmtId="0" fontId="22" fillId="5" borderId="0" xfId="0" applyFont="1" applyFill="1"/>
    <xf numFmtId="0" fontId="23" fillId="5" borderId="0" xfId="0" applyFont="1" applyFill="1"/>
    <xf numFmtId="0" fontId="23" fillId="3" borderId="6" xfId="0" applyFont="1" applyFill="1" applyBorder="1"/>
    <xf numFmtId="43" fontId="23" fillId="3" borderId="7" xfId="0" applyNumberFormat="1" applyFont="1" applyFill="1" applyBorder="1"/>
    <xf numFmtId="0" fontId="23" fillId="2" borderId="6" xfId="0" applyFont="1" applyFill="1" applyBorder="1"/>
    <xf numFmtId="43" fontId="23" fillId="2" borderId="7" xfId="0" applyNumberFormat="1" applyFont="1" applyFill="1" applyBorder="1"/>
    <xf numFmtId="14" fontId="23" fillId="4" borderId="0" xfId="0" applyNumberFormat="1" applyFont="1" applyFill="1"/>
    <xf numFmtId="14" fontId="23" fillId="2" borderId="0" xfId="0" applyNumberFormat="1" applyFont="1" applyFill="1"/>
    <xf numFmtId="0" fontId="20" fillId="0" borderId="1" xfId="0" applyFont="1" applyBorder="1"/>
    <xf numFmtId="0" fontId="25" fillId="2" borderId="0" xfId="0" applyFont="1" applyFill="1"/>
    <xf numFmtId="0" fontId="23" fillId="6" borderId="0" xfId="0" applyFont="1" applyFill="1"/>
    <xf numFmtId="14" fontId="22" fillId="6" borderId="0" xfId="0" applyNumberFormat="1" applyFont="1" applyFill="1"/>
    <xf numFmtId="0" fontId="22" fillId="6" borderId="0" xfId="0" applyFont="1" applyFill="1"/>
    <xf numFmtId="0" fontId="23" fillId="6" borderId="0" xfId="0" applyFont="1" applyFill="1" applyAlignment="1">
      <alignment horizontal="right"/>
    </xf>
    <xf numFmtId="43" fontId="23" fillId="6" borderId="3" xfId="0" applyNumberFormat="1" applyFont="1" applyFill="1" applyBorder="1"/>
    <xf numFmtId="0" fontId="23" fillId="6" borderId="1" xfId="0" applyFont="1" applyFill="1" applyBorder="1"/>
    <xf numFmtId="43" fontId="23" fillId="6" borderId="4" xfId="0" applyNumberFormat="1" applyFont="1" applyFill="1" applyBorder="1"/>
    <xf numFmtId="0" fontId="23" fillId="6" borderId="6" xfId="0" applyFont="1" applyFill="1" applyBorder="1"/>
    <xf numFmtId="43" fontId="23" fillId="6" borderId="7" xfId="0" applyNumberFormat="1" applyFont="1" applyFill="1" applyBorder="1"/>
    <xf numFmtId="43" fontId="23" fillId="0" borderId="9" xfId="0" applyNumberFormat="1" applyFont="1" applyBorder="1"/>
    <xf numFmtId="0" fontId="20" fillId="0" borderId="9" xfId="0" applyFont="1" applyBorder="1"/>
    <xf numFmtId="0" fontId="22" fillId="0" borderId="9" xfId="0" applyFont="1" applyBorder="1"/>
    <xf numFmtId="0" fontId="22" fillId="5" borderId="8" xfId="0" applyFont="1" applyFill="1" applyBorder="1"/>
    <xf numFmtId="0" fontId="23" fillId="5" borderId="8" xfId="0" applyFont="1" applyFill="1" applyBorder="1"/>
    <xf numFmtId="0" fontId="28" fillId="5" borderId="8" xfId="0" applyFont="1" applyFill="1" applyBorder="1"/>
    <xf numFmtId="43" fontId="23" fillId="0" borderId="12" xfId="0" applyNumberFormat="1" applyFont="1" applyBorder="1"/>
    <xf numFmtId="0" fontId="22" fillId="0" borderId="12" xfId="0" applyFont="1" applyBorder="1"/>
    <xf numFmtId="0" fontId="23" fillId="7" borderId="0" xfId="0" applyFont="1" applyFill="1"/>
    <xf numFmtId="14" fontId="22" fillId="7" borderId="0" xfId="0" applyNumberFormat="1" applyFont="1" applyFill="1"/>
    <xf numFmtId="0" fontId="23" fillId="7" borderId="0" xfId="0" applyFont="1" applyFill="1" applyAlignment="1">
      <alignment horizontal="right"/>
    </xf>
    <xf numFmtId="43" fontId="23" fillId="7" borderId="3" xfId="0" applyNumberFormat="1" applyFont="1" applyFill="1" applyBorder="1"/>
    <xf numFmtId="0" fontId="22" fillId="7" borderId="0" xfId="0" applyFont="1" applyFill="1"/>
    <xf numFmtId="0" fontId="23" fillId="7" borderId="1" xfId="0" applyFont="1" applyFill="1" applyBorder="1"/>
    <xf numFmtId="43" fontId="23" fillId="7" borderId="4" xfId="0" applyNumberFormat="1" applyFont="1" applyFill="1" applyBorder="1"/>
    <xf numFmtId="0" fontId="23" fillId="7" borderId="6" xfId="0" applyFont="1" applyFill="1" applyBorder="1"/>
    <xf numFmtId="43" fontId="23" fillId="7" borderId="7" xfId="0" applyNumberFormat="1" applyFont="1" applyFill="1" applyBorder="1"/>
    <xf numFmtId="0" fontId="27" fillId="2" borderId="0" xfId="0" applyFont="1" applyFill="1"/>
    <xf numFmtId="0" fontId="23" fillId="4" borderId="2" xfId="0" applyFont="1" applyFill="1" applyBorder="1"/>
    <xf numFmtId="14" fontId="22" fillId="4" borderId="2" xfId="0" applyNumberFormat="1" applyFont="1" applyFill="1" applyBorder="1"/>
    <xf numFmtId="0" fontId="23" fillId="3" borderId="2" xfId="0" applyFont="1" applyFill="1" applyBorder="1"/>
    <xf numFmtId="14" fontId="22" fillId="3" borderId="2" xfId="0" applyNumberFormat="1" applyFont="1" applyFill="1" applyBorder="1"/>
    <xf numFmtId="0" fontId="25" fillId="2" borderId="2" xfId="0" applyFont="1" applyFill="1" applyBorder="1"/>
    <xf numFmtId="14" fontId="22" fillId="2" borderId="2" xfId="0" applyNumberFormat="1" applyFont="1" applyFill="1" applyBorder="1"/>
    <xf numFmtId="0" fontId="23" fillId="2" borderId="2" xfId="0" applyFont="1" applyFill="1" applyBorder="1"/>
    <xf numFmtId="0" fontId="23" fillId="6" borderId="2" xfId="0" applyFont="1" applyFill="1" applyBorder="1"/>
    <xf numFmtId="14" fontId="22" fillId="6" borderId="2" xfId="0" applyNumberFormat="1" applyFont="1" applyFill="1" applyBorder="1"/>
    <xf numFmtId="0" fontId="23" fillId="7" borderId="2" xfId="0" applyFont="1" applyFill="1" applyBorder="1"/>
    <xf numFmtId="14" fontId="22" fillId="7" borderId="2" xfId="0" applyNumberFormat="1" applyFont="1" applyFill="1" applyBorder="1"/>
    <xf numFmtId="43" fontId="22" fillId="5" borderId="3" xfId="0" applyNumberFormat="1" applyFont="1" applyFill="1" applyBorder="1"/>
    <xf numFmtId="43" fontId="22" fillId="5" borderId="0" xfId="0" applyNumberFormat="1" applyFont="1" applyFill="1"/>
    <xf numFmtId="43" fontId="22" fillId="5" borderId="0" xfId="1" applyFont="1" applyFill="1"/>
    <xf numFmtId="43" fontId="22" fillId="5" borderId="11" xfId="0" applyNumberFormat="1" applyFont="1" applyFill="1" applyBorder="1"/>
    <xf numFmtId="43" fontId="22" fillId="5" borderId="8" xfId="0" applyNumberFormat="1" applyFont="1" applyFill="1" applyBorder="1"/>
    <xf numFmtId="43" fontId="22" fillId="5" borderId="8" xfId="1" applyFont="1" applyFill="1" applyBorder="1"/>
    <xf numFmtId="14" fontId="23" fillId="8" borderId="0" xfId="0" applyNumberFormat="1" applyFont="1" applyFill="1"/>
    <xf numFmtId="0" fontId="23" fillId="8" borderId="0" xfId="0" applyFont="1" applyFill="1" applyAlignment="1">
      <alignment horizontal="right"/>
    </xf>
    <xf numFmtId="0" fontId="23" fillId="8" borderId="0" xfId="0" applyFont="1" applyFill="1"/>
    <xf numFmtId="43" fontId="23" fillId="8" borderId="3" xfId="0" applyNumberFormat="1" applyFont="1" applyFill="1" applyBorder="1"/>
    <xf numFmtId="0" fontId="23" fillId="8" borderId="2" xfId="0" applyFont="1" applyFill="1" applyBorder="1"/>
    <xf numFmtId="43" fontId="23" fillId="8" borderId="5" xfId="0" applyNumberFormat="1" applyFont="1" applyFill="1" applyBorder="1"/>
    <xf numFmtId="0" fontId="24" fillId="8" borderId="0" xfId="0" applyFont="1" applyFill="1"/>
    <xf numFmtId="0" fontId="20" fillId="8" borderId="9" xfId="0" applyFont="1" applyFill="1" applyBorder="1"/>
    <xf numFmtId="43" fontId="20" fillId="8" borderId="10" xfId="0" applyNumberFormat="1" applyFont="1" applyFill="1" applyBorder="1"/>
    <xf numFmtId="1" fontId="23" fillId="8" borderId="0" xfId="0" applyNumberFormat="1" applyFont="1" applyFill="1"/>
    <xf numFmtId="164" fontId="23" fillId="8" borderId="0" xfId="0" applyNumberFormat="1" applyFont="1" applyFill="1"/>
    <xf numFmtId="0" fontId="26" fillId="8" borderId="12" xfId="0" applyFont="1" applyFill="1" applyBorder="1"/>
    <xf numFmtId="0" fontId="24" fillId="8" borderId="12" xfId="0" applyFont="1" applyFill="1" applyBorder="1"/>
    <xf numFmtId="0" fontId="23" fillId="8" borderId="12" xfId="0" applyFont="1" applyFill="1" applyBorder="1" applyAlignment="1">
      <alignment horizontal="right"/>
    </xf>
    <xf numFmtId="0" fontId="20" fillId="8" borderId="12" xfId="0" applyFont="1" applyFill="1" applyBorder="1"/>
    <xf numFmtId="43" fontId="20" fillId="8" borderId="13" xfId="0" applyNumberFormat="1" applyFont="1" applyFill="1" applyBorder="1"/>
    <xf numFmtId="14" fontId="23" fillId="8" borderId="0" xfId="0" applyNumberFormat="1" applyFont="1" applyFill="1" applyAlignment="1">
      <alignment horizontal="right"/>
    </xf>
    <xf numFmtId="0" fontId="22" fillId="5" borderId="0" xfId="0" applyFont="1" applyFill="1" applyAlignment="1">
      <alignment horizontal="center"/>
    </xf>
    <xf numFmtId="0" fontId="22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2" fillId="5" borderId="8" xfId="0" applyFont="1" applyFill="1" applyBorder="1" applyAlignment="1">
      <alignment horizontal="center"/>
    </xf>
    <xf numFmtId="0" fontId="22" fillId="2" borderId="2" xfId="0" applyFont="1" applyFill="1" applyBorder="1"/>
    <xf numFmtId="0" fontId="22" fillId="4" borderId="2" xfId="0" applyFont="1" applyFill="1" applyBorder="1"/>
    <xf numFmtId="0" fontId="22" fillId="3" borderId="2" xfId="0" applyFont="1" applyFill="1" applyBorder="1"/>
    <xf numFmtId="0" fontId="22" fillId="7" borderId="2" xfId="0" applyFont="1" applyFill="1" applyBorder="1"/>
    <xf numFmtId="0" fontId="28" fillId="5" borderId="0" xfId="0" applyFont="1" applyFill="1"/>
    <xf numFmtId="14" fontId="28" fillId="5" borderId="0" xfId="0" applyNumberFormat="1" applyFont="1" applyFill="1" applyAlignment="1">
      <alignment horizontal="left"/>
    </xf>
    <xf numFmtId="0" fontId="20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14" fontId="29" fillId="0" borderId="2" xfId="0" applyNumberFormat="1" applyFont="1" applyBorder="1" applyAlignment="1">
      <alignment horizontal="center"/>
    </xf>
    <xf numFmtId="43" fontId="29" fillId="0" borderId="5" xfId="0" applyNumberFormat="1" applyFont="1" applyBorder="1" applyAlignment="1">
      <alignment horizontal="center"/>
    </xf>
    <xf numFmtId="0" fontId="23" fillId="0" borderId="9" xfId="0" applyFont="1" applyBorder="1"/>
    <xf numFmtId="0" fontId="22" fillId="0" borderId="0" xfId="1" applyNumberFormat="1" applyFont="1"/>
    <xf numFmtId="0" fontId="22" fillId="0" borderId="1" xfId="1" applyNumberFormat="1" applyFont="1" applyBorder="1"/>
    <xf numFmtId="14" fontId="28" fillId="5" borderId="0" xfId="0" applyNumberFormat="1" applyFont="1" applyFill="1"/>
    <xf numFmtId="43" fontId="22" fillId="0" borderId="10" xfId="0" applyNumberFormat="1" applyFont="1" applyBorder="1"/>
    <xf numFmtId="0" fontId="32" fillId="3" borderId="2" xfId="0" applyFont="1" applyFill="1" applyBorder="1"/>
    <xf numFmtId="0" fontId="30" fillId="3" borderId="2" xfId="0" applyFont="1" applyFill="1" applyBorder="1"/>
    <xf numFmtId="0" fontId="30" fillId="4" borderId="2" xfId="0" applyFont="1" applyFill="1" applyBorder="1"/>
    <xf numFmtId="43" fontId="22" fillId="0" borderId="1" xfId="1" applyFont="1" applyFill="1" applyBorder="1"/>
    <xf numFmtId="0" fontId="33" fillId="3" borderId="2" xfId="0" applyFont="1" applyFill="1" applyBorder="1"/>
    <xf numFmtId="0" fontId="33" fillId="2" borderId="2" xfId="0" applyFont="1" applyFill="1" applyBorder="1"/>
    <xf numFmtId="0" fontId="33" fillId="4" borderId="2" xfId="0" applyFont="1" applyFill="1" applyBorder="1"/>
    <xf numFmtId="0" fontId="33" fillId="4" borderId="0" xfId="0" applyFont="1" applyFill="1"/>
    <xf numFmtId="0" fontId="31" fillId="4" borderId="2" xfId="0" applyFont="1" applyFill="1" applyBorder="1"/>
    <xf numFmtId="0" fontId="33" fillId="3" borderId="0" xfId="0" applyFont="1" applyFill="1"/>
    <xf numFmtId="0" fontId="31" fillId="3" borderId="2" xfId="0" applyFont="1" applyFill="1" applyBorder="1"/>
    <xf numFmtId="0" fontId="34" fillId="3" borderId="2" xfId="0" applyFont="1" applyFill="1" applyBorder="1"/>
    <xf numFmtId="0" fontId="36" fillId="3" borderId="2" xfId="0" applyFont="1" applyFill="1" applyBorder="1"/>
    <xf numFmtId="165" fontId="23" fillId="4" borderId="0" xfId="0" applyNumberFormat="1" applyFont="1" applyFill="1" applyAlignment="1">
      <alignment horizontal="right"/>
    </xf>
    <xf numFmtId="0" fontId="20" fillId="3" borderId="0" xfId="0" applyFont="1" applyFill="1"/>
    <xf numFmtId="0" fontId="20" fillId="7" borderId="0" xfId="0" applyFont="1" applyFill="1"/>
    <xf numFmtId="0" fontId="20" fillId="6" borderId="0" xfId="0" applyFont="1" applyFill="1"/>
    <xf numFmtId="0" fontId="20" fillId="4" borderId="0" xfId="0" applyFont="1" applyFill="1"/>
    <xf numFmtId="0" fontId="22" fillId="6" borderId="2" xfId="0" applyFont="1" applyFill="1" applyBorder="1"/>
    <xf numFmtId="165" fontId="33" fillId="4" borderId="0" xfId="0" applyNumberFormat="1" applyFont="1" applyFill="1" applyAlignment="1">
      <alignment horizontal="right"/>
    </xf>
    <xf numFmtId="165" fontId="33" fillId="2" borderId="0" xfId="0" applyNumberFormat="1" applyFont="1" applyFill="1" applyAlignment="1">
      <alignment horizontal="right"/>
    </xf>
    <xf numFmtId="43" fontId="22" fillId="0" borderId="0" xfId="1" applyFont="1" applyBorder="1"/>
    <xf numFmtId="0" fontId="22" fillId="5" borderId="3" xfId="0" applyFont="1" applyFill="1" applyBorder="1"/>
    <xf numFmtId="0" fontId="22" fillId="5" borderId="0" xfId="1" applyNumberFormat="1" applyFont="1" applyFill="1"/>
    <xf numFmtId="165" fontId="33" fillId="3" borderId="0" xfId="0" applyNumberFormat="1" applyFont="1" applyFill="1" applyAlignment="1">
      <alignment horizontal="right"/>
    </xf>
    <xf numFmtId="0" fontId="20" fillId="8" borderId="0" xfId="0" applyFont="1" applyFill="1"/>
    <xf numFmtId="43" fontId="22" fillId="10" borderId="15" xfId="0" applyNumberFormat="1" applyFont="1" applyFill="1" applyBorder="1"/>
    <xf numFmtId="43" fontId="22" fillId="10" borderId="14" xfId="0" applyNumberFormat="1" applyFont="1" applyFill="1" applyBorder="1"/>
    <xf numFmtId="0" fontId="22" fillId="10" borderId="14" xfId="0" applyFont="1" applyFill="1" applyBorder="1"/>
    <xf numFmtId="0" fontId="22" fillId="9" borderId="2" xfId="0" applyFont="1" applyFill="1" applyBorder="1" applyAlignment="1">
      <alignment horizontal="right"/>
    </xf>
    <xf numFmtId="43" fontId="22" fillId="9" borderId="5" xfId="0" applyNumberFormat="1" applyFont="1" applyFill="1" applyBorder="1"/>
    <xf numFmtId="43" fontId="22" fillId="9" borderId="2" xfId="0" applyNumberFormat="1" applyFont="1" applyFill="1" applyBorder="1"/>
    <xf numFmtId="0" fontId="22" fillId="9" borderId="2" xfId="0" applyFont="1" applyFill="1" applyBorder="1"/>
    <xf numFmtId="0" fontId="22" fillId="10" borderId="1" xfId="0" applyFont="1" applyFill="1" applyBorder="1"/>
    <xf numFmtId="0" fontId="22" fillId="10" borderId="14" xfId="0" applyFont="1" applyFill="1" applyBorder="1" applyAlignment="1">
      <alignment horizontal="right"/>
    </xf>
    <xf numFmtId="43" fontId="21" fillId="0" borderId="0" xfId="0" applyNumberFormat="1" applyFont="1"/>
    <xf numFmtId="43" fontId="21" fillId="0" borderId="3" xfId="0" applyNumberFormat="1" applyFont="1" applyBorder="1"/>
    <xf numFmtId="0" fontId="18" fillId="0" borderId="0" xfId="0" applyFont="1"/>
    <xf numFmtId="0" fontId="20" fillId="0" borderId="0" xfId="0" applyFont="1" applyAlignment="1">
      <alignment horizontal="center"/>
    </xf>
    <xf numFmtId="0" fontId="29" fillId="0" borderId="0" xfId="0" applyFont="1"/>
    <xf numFmtId="0" fontId="20" fillId="4" borderId="0" xfId="0" applyFont="1" applyFill="1" applyAlignment="1">
      <alignment horizontal="right"/>
    </xf>
    <xf numFmtId="0" fontId="20" fillId="4" borderId="3" xfId="0" applyFont="1" applyFill="1" applyBorder="1" applyAlignment="1">
      <alignment horizontal="right"/>
    </xf>
    <xf numFmtId="43" fontId="29" fillId="0" borderId="0" xfId="0" applyNumberFormat="1" applyFont="1"/>
    <xf numFmtId="43" fontId="29" fillId="0" borderId="2" xfId="0" applyNumberFormat="1" applyFont="1" applyBorder="1"/>
    <xf numFmtId="0" fontId="20" fillId="4" borderId="16" xfId="0" applyFont="1" applyFill="1" applyBorder="1"/>
    <xf numFmtId="0" fontId="20" fillId="4" borderId="17" xfId="0" applyFont="1" applyFill="1" applyBorder="1" applyAlignment="1">
      <alignment horizontal="right"/>
    </xf>
    <xf numFmtId="43" fontId="29" fillId="0" borderId="16" xfId="0" applyNumberFormat="1" applyFont="1" applyBorder="1"/>
    <xf numFmtId="0" fontId="29" fillId="0" borderId="16" xfId="0" applyFont="1" applyBorder="1"/>
    <xf numFmtId="0" fontId="20" fillId="3" borderId="0" xfId="0" applyFont="1" applyFill="1" applyAlignment="1">
      <alignment horizontal="right"/>
    </xf>
    <xf numFmtId="0" fontId="20" fillId="3" borderId="3" xfId="0" applyFont="1" applyFill="1" applyBorder="1" applyAlignment="1">
      <alignment horizontal="right"/>
    </xf>
    <xf numFmtId="0" fontId="20" fillId="3" borderId="16" xfId="0" applyFont="1" applyFill="1" applyBorder="1"/>
    <xf numFmtId="0" fontId="20" fillId="3" borderId="17" xfId="0" applyFont="1" applyFill="1" applyBorder="1" applyAlignment="1">
      <alignment horizontal="right"/>
    </xf>
    <xf numFmtId="0" fontId="20" fillId="6" borderId="0" xfId="0" applyFont="1" applyFill="1" applyAlignment="1">
      <alignment horizontal="right"/>
    </xf>
    <xf numFmtId="0" fontId="20" fillId="6" borderId="3" xfId="0" applyFont="1" applyFill="1" applyBorder="1" applyAlignment="1">
      <alignment horizontal="right"/>
    </xf>
    <xf numFmtId="0" fontId="20" fillId="6" borderId="16" xfId="0" applyFont="1" applyFill="1" applyBorder="1"/>
    <xf numFmtId="0" fontId="20" fillId="6" borderId="17" xfId="0" applyFont="1" applyFill="1" applyBorder="1" applyAlignment="1">
      <alignment horizontal="right"/>
    </xf>
    <xf numFmtId="0" fontId="20" fillId="7" borderId="0" xfId="0" applyFont="1" applyFill="1" applyAlignment="1">
      <alignment horizontal="right"/>
    </xf>
    <xf numFmtId="0" fontId="20" fillId="7" borderId="3" xfId="0" applyFont="1" applyFill="1" applyBorder="1" applyAlignment="1">
      <alignment horizontal="right"/>
    </xf>
    <xf numFmtId="0" fontId="20" fillId="7" borderId="16" xfId="0" applyFont="1" applyFill="1" applyBorder="1"/>
    <xf numFmtId="0" fontId="20" fillId="7" borderId="17" xfId="0" applyFont="1" applyFill="1" applyBorder="1" applyAlignment="1">
      <alignment horizontal="right"/>
    </xf>
    <xf numFmtId="0" fontId="20" fillId="2" borderId="0" xfId="0" applyFont="1" applyFill="1" applyAlignment="1">
      <alignment horizontal="right"/>
    </xf>
    <xf numFmtId="0" fontId="20" fillId="2" borderId="3" xfId="0" applyFont="1" applyFill="1" applyBorder="1" applyAlignment="1">
      <alignment horizontal="right"/>
    </xf>
    <xf numFmtId="0" fontId="20" fillId="2" borderId="0" xfId="0" applyFont="1" applyFill="1"/>
    <xf numFmtId="43" fontId="29" fillId="8" borderId="3" xfId="0" applyNumberFormat="1" applyFont="1" applyFill="1" applyBorder="1"/>
    <xf numFmtId="0" fontId="20" fillId="8" borderId="2" xfId="0" applyFont="1" applyFill="1" applyBorder="1"/>
    <xf numFmtId="43" fontId="29" fillId="8" borderId="5" xfId="0" applyNumberFormat="1" applyFont="1" applyFill="1" applyBorder="1"/>
    <xf numFmtId="43" fontId="20" fillId="0" borderId="0" xfId="0" applyNumberFormat="1" applyFont="1"/>
    <xf numFmtId="43" fontId="20" fillId="0" borderId="3" xfId="0" applyNumberFormat="1" applyFont="1" applyBorder="1"/>
    <xf numFmtId="43" fontId="29" fillId="0" borderId="3" xfId="0" applyNumberFormat="1" applyFont="1" applyBorder="1"/>
    <xf numFmtId="0" fontId="20" fillId="0" borderId="2" xfId="0" applyFont="1" applyBorder="1"/>
    <xf numFmtId="43" fontId="20" fillId="0" borderId="5" xfId="0" applyNumberFormat="1" applyFont="1" applyBorder="1"/>
    <xf numFmtId="43" fontId="20" fillId="0" borderId="2" xfId="0" applyNumberFormat="1" applyFont="1" applyBorder="1"/>
    <xf numFmtId="0" fontId="29" fillId="8" borderId="0" xfId="0" applyFont="1" applyFill="1"/>
    <xf numFmtId="0" fontId="29" fillId="4" borderId="0" xfId="0" applyFont="1" applyFill="1"/>
    <xf numFmtId="0" fontId="21" fillId="6" borderId="0" xfId="0" applyFont="1" applyFill="1"/>
    <xf numFmtId="0" fontId="21" fillId="2" borderId="0" xfId="0" applyFont="1" applyFill="1"/>
    <xf numFmtId="0" fontId="21" fillId="3" borderId="0" xfId="0" applyFont="1" applyFill="1"/>
    <xf numFmtId="0" fontId="22" fillId="0" borderId="19" xfId="0" applyFont="1" applyBorder="1" applyAlignment="1">
      <alignment horizontal="center"/>
    </xf>
    <xf numFmtId="0" fontId="21" fillId="0" borderId="19" xfId="0" applyFont="1" applyBorder="1"/>
    <xf numFmtId="0" fontId="18" fillId="0" borderId="19" xfId="0" applyFont="1" applyBorder="1"/>
    <xf numFmtId="43" fontId="21" fillId="0" borderId="20" xfId="0" applyNumberFormat="1" applyFont="1" applyBorder="1"/>
    <xf numFmtId="0" fontId="22" fillId="0" borderId="19" xfId="0" applyFont="1" applyBorder="1"/>
    <xf numFmtId="0" fontId="22" fillId="0" borderId="21" xfId="0" applyFont="1" applyBorder="1" applyAlignment="1">
      <alignment horizontal="center"/>
    </xf>
    <xf numFmtId="0" fontId="21" fillId="0" borderId="21" xfId="0" applyFont="1" applyBorder="1"/>
    <xf numFmtId="0" fontId="18" fillId="0" borderId="21" xfId="0" applyFont="1" applyBorder="1"/>
    <xf numFmtId="43" fontId="21" fillId="0" borderId="22" xfId="0" applyNumberFormat="1" applyFont="1" applyBorder="1"/>
    <xf numFmtId="0" fontId="22" fillId="0" borderId="21" xfId="0" applyFont="1" applyBorder="1"/>
    <xf numFmtId="0" fontId="20" fillId="0" borderId="19" xfId="0" applyFont="1" applyBorder="1" applyAlignment="1">
      <alignment horizontal="center"/>
    </xf>
    <xf numFmtId="0" fontId="29" fillId="0" borderId="19" xfId="0" applyFont="1" applyBorder="1"/>
    <xf numFmtId="0" fontId="20" fillId="0" borderId="19" xfId="0" applyFont="1" applyBorder="1"/>
    <xf numFmtId="0" fontId="20" fillId="11" borderId="19" xfId="0" applyFont="1" applyFill="1" applyBorder="1"/>
    <xf numFmtId="43" fontId="29" fillId="11" borderId="20" xfId="0" applyNumberFormat="1" applyFont="1" applyFill="1" applyBorder="1"/>
    <xf numFmtId="43" fontId="29" fillId="11" borderId="19" xfId="0" applyNumberFormat="1" applyFont="1" applyFill="1" applyBorder="1"/>
    <xf numFmtId="43" fontId="20" fillId="11" borderId="19" xfId="0" applyNumberFormat="1" applyFont="1" applyFill="1" applyBorder="1"/>
    <xf numFmtId="0" fontId="29" fillId="11" borderId="19" xfId="0" applyFont="1" applyFill="1" applyBorder="1"/>
    <xf numFmtId="0" fontId="18" fillId="3" borderId="0" xfId="0" applyFont="1" applyFill="1"/>
    <xf numFmtId="14" fontId="23" fillId="0" borderId="0" xfId="0" applyNumberFormat="1" applyFont="1" applyAlignment="1">
      <alignment horizontal="right"/>
    </xf>
    <xf numFmtId="0" fontId="20" fillId="11" borderId="0" xfId="0" applyFont="1" applyFill="1"/>
    <xf numFmtId="43" fontId="29" fillId="11" borderId="3" xfId="0" applyNumberFormat="1" applyFont="1" applyFill="1" applyBorder="1"/>
    <xf numFmtId="43" fontId="29" fillId="11" borderId="0" xfId="0" applyNumberFormat="1" applyFont="1" applyFill="1"/>
    <xf numFmtId="43" fontId="20" fillId="11" borderId="0" xfId="0" applyNumberFormat="1" applyFont="1" applyFill="1"/>
    <xf numFmtId="0" fontId="29" fillId="11" borderId="0" xfId="0" applyFont="1" applyFill="1"/>
    <xf numFmtId="0" fontId="20" fillId="11" borderId="2" xfId="0" applyFont="1" applyFill="1" applyBorder="1"/>
    <xf numFmtId="43" fontId="29" fillId="11" borderId="5" xfId="0" applyNumberFormat="1" applyFont="1" applyFill="1" applyBorder="1"/>
    <xf numFmtId="43" fontId="29" fillId="11" borderId="2" xfId="0" applyNumberFormat="1" applyFont="1" applyFill="1" applyBorder="1"/>
    <xf numFmtId="43" fontId="20" fillId="11" borderId="2" xfId="0" applyNumberFormat="1" applyFont="1" applyFill="1" applyBorder="1"/>
    <xf numFmtId="0" fontId="29" fillId="11" borderId="2" xfId="0" applyFont="1" applyFill="1" applyBorder="1"/>
    <xf numFmtId="0" fontId="23" fillId="0" borderId="21" xfId="0" applyFont="1" applyBorder="1"/>
    <xf numFmtId="43" fontId="21" fillId="0" borderId="21" xfId="0" applyNumberFormat="1" applyFont="1" applyBorder="1"/>
    <xf numFmtId="0" fontId="20" fillId="0" borderId="3" xfId="0" applyFont="1" applyBorder="1" applyAlignment="1">
      <alignment horizontal="right"/>
    </xf>
    <xf numFmtId="0" fontId="20" fillId="11" borderId="3" xfId="0" applyFont="1" applyFill="1" applyBorder="1" applyAlignment="1">
      <alignment horizontal="right"/>
    </xf>
    <xf numFmtId="0" fontId="20" fillId="11" borderId="5" xfId="0" applyFont="1" applyFill="1" applyBorder="1" applyAlignment="1">
      <alignment horizontal="right"/>
    </xf>
    <xf numFmtId="0" fontId="20" fillId="11" borderId="20" xfId="0" applyFont="1" applyFill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20" fillId="2" borderId="16" xfId="0" applyFont="1" applyFill="1" applyBorder="1"/>
    <xf numFmtId="0" fontId="20" fillId="2" borderId="17" xfId="0" applyFont="1" applyFill="1" applyBorder="1" applyAlignment="1">
      <alignment horizontal="right"/>
    </xf>
    <xf numFmtId="43" fontId="29" fillId="0" borderId="23" xfId="0" applyNumberFormat="1" applyFont="1" applyBorder="1"/>
    <xf numFmtId="0" fontId="29" fillId="0" borderId="23" xfId="0" applyFont="1" applyBorder="1"/>
    <xf numFmtId="0" fontId="20" fillId="4" borderId="19" xfId="0" applyFont="1" applyFill="1" applyBorder="1"/>
    <xf numFmtId="43" fontId="29" fillId="0" borderId="19" xfId="0" applyNumberFormat="1" applyFont="1" applyBorder="1"/>
    <xf numFmtId="0" fontId="20" fillId="4" borderId="1" xfId="0" applyFont="1" applyFill="1" applyBorder="1"/>
    <xf numFmtId="0" fontId="20" fillId="4" borderId="1" xfId="0" applyFont="1" applyFill="1" applyBorder="1" applyAlignment="1">
      <alignment horizontal="right"/>
    </xf>
    <xf numFmtId="0" fontId="20" fillId="7" borderId="19" xfId="0" applyFont="1" applyFill="1" applyBorder="1"/>
    <xf numFmtId="0" fontId="20" fillId="7" borderId="19" xfId="0" applyFont="1" applyFill="1" applyBorder="1" applyAlignment="1">
      <alignment horizontal="right"/>
    </xf>
    <xf numFmtId="0" fontId="20" fillId="6" borderId="19" xfId="0" applyFont="1" applyFill="1" applyBorder="1"/>
    <xf numFmtId="0" fontId="20" fillId="6" borderId="1" xfId="0" applyFont="1" applyFill="1" applyBorder="1"/>
    <xf numFmtId="0" fontId="20" fillId="6" borderId="1" xfId="0" applyFont="1" applyFill="1" applyBorder="1" applyAlignment="1">
      <alignment horizontal="right"/>
    </xf>
    <xf numFmtId="0" fontId="20" fillId="3" borderId="1" xfId="0" applyFont="1" applyFill="1" applyBorder="1"/>
    <xf numFmtId="0" fontId="20" fillId="3" borderId="1" xfId="0" applyFont="1" applyFill="1" applyBorder="1" applyAlignment="1">
      <alignment horizontal="right"/>
    </xf>
    <xf numFmtId="0" fontId="20" fillId="3" borderId="19" xfId="0" applyFont="1" applyFill="1" applyBorder="1"/>
    <xf numFmtId="0" fontId="20" fillId="2" borderId="19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right"/>
    </xf>
    <xf numFmtId="0" fontId="20" fillId="11" borderId="4" xfId="0" applyFont="1" applyFill="1" applyBorder="1" applyAlignment="1">
      <alignment horizontal="right"/>
    </xf>
    <xf numFmtId="43" fontId="29" fillId="11" borderId="1" xfId="0" applyNumberFormat="1" applyFont="1" applyFill="1" applyBorder="1"/>
    <xf numFmtId="0" fontId="29" fillId="11" borderId="1" xfId="0" applyFont="1" applyFill="1" applyBorder="1"/>
    <xf numFmtId="0" fontId="29" fillId="3" borderId="0" xfId="0" applyFont="1" applyFill="1" applyAlignment="1">
      <alignment horizontal="right"/>
    </xf>
    <xf numFmtId="0" fontId="29" fillId="3" borderId="2" xfId="0" applyFont="1" applyFill="1" applyBorder="1" applyAlignment="1">
      <alignment horizontal="right"/>
    </xf>
    <xf numFmtId="0" fontId="20" fillId="3" borderId="2" xfId="0" applyFont="1" applyFill="1" applyBorder="1"/>
    <xf numFmtId="0" fontId="29" fillId="0" borderId="19" xfId="0" applyFont="1" applyBorder="1" applyAlignment="1">
      <alignment horizontal="right"/>
    </xf>
    <xf numFmtId="0" fontId="29" fillId="3" borderId="1" xfId="0" applyFont="1" applyFill="1" applyBorder="1" applyAlignment="1">
      <alignment horizontal="right"/>
    </xf>
    <xf numFmtId="43" fontId="29" fillId="0" borderId="18" xfId="0" applyNumberFormat="1" applyFont="1" applyBorder="1"/>
    <xf numFmtId="43" fontId="21" fillId="0" borderId="16" xfId="0" applyNumberFormat="1" applyFont="1" applyBorder="1"/>
    <xf numFmtId="43" fontId="20" fillId="0" borderId="9" xfId="0" applyNumberFormat="1" applyFont="1" applyBorder="1"/>
    <xf numFmtId="43" fontId="22" fillId="0" borderId="0" xfId="1" applyFont="1" applyFill="1"/>
    <xf numFmtId="14" fontId="33" fillId="4" borderId="0" xfId="0" applyNumberFormat="1" applyFont="1" applyFill="1"/>
    <xf numFmtId="14" fontId="33" fillId="8" borderId="0" xfId="0" applyNumberFormat="1" applyFont="1" applyFill="1"/>
    <xf numFmtId="0" fontId="33" fillId="8" borderId="0" xfId="0" applyFont="1" applyFill="1"/>
    <xf numFmtId="0" fontId="33" fillId="8" borderId="0" xfId="0" applyFont="1" applyFill="1" applyAlignment="1">
      <alignment horizontal="left"/>
    </xf>
    <xf numFmtId="14" fontId="23" fillId="8" borderId="12" xfId="0" applyNumberFormat="1" applyFont="1" applyFill="1" applyBorder="1" applyAlignment="1">
      <alignment horizontal="right"/>
    </xf>
    <xf numFmtId="0" fontId="20" fillId="4" borderId="24" xfId="0" applyFont="1" applyFill="1" applyBorder="1" applyAlignment="1">
      <alignment horizontal="right"/>
    </xf>
    <xf numFmtId="0" fontId="23" fillId="0" borderId="26" xfId="0" applyFont="1" applyBorder="1" applyAlignment="1">
      <alignment horizontal="right"/>
    </xf>
    <xf numFmtId="0" fontId="20" fillId="7" borderId="24" xfId="0" applyFont="1" applyFill="1" applyBorder="1" applyAlignment="1">
      <alignment horizontal="right"/>
    </xf>
    <xf numFmtId="0" fontId="20" fillId="6" borderId="24" xfId="0" applyFont="1" applyFill="1" applyBorder="1" applyAlignment="1">
      <alignment horizontal="right"/>
    </xf>
    <xf numFmtId="0" fontId="20" fillId="3" borderId="24" xfId="0" applyFont="1" applyFill="1" applyBorder="1" applyAlignment="1">
      <alignment horizontal="right"/>
    </xf>
    <xf numFmtId="0" fontId="20" fillId="2" borderId="24" xfId="0" applyFont="1" applyFill="1" applyBorder="1" applyAlignment="1">
      <alignment horizontal="right"/>
    </xf>
    <xf numFmtId="0" fontId="20" fillId="11" borderId="24" xfId="0" applyFont="1" applyFill="1" applyBorder="1" applyAlignment="1">
      <alignment horizontal="right"/>
    </xf>
    <xf numFmtId="0" fontId="29" fillId="0" borderId="28" xfId="0" applyFont="1" applyBorder="1"/>
    <xf numFmtId="0" fontId="29" fillId="0" borderId="29" xfId="0" applyFont="1" applyBorder="1"/>
    <xf numFmtId="43" fontId="36" fillId="0" borderId="6" xfId="0" applyNumberFormat="1" applyFont="1" applyBorder="1"/>
    <xf numFmtId="0" fontId="36" fillId="3" borderId="2" xfId="0" applyFont="1" applyFill="1" applyBorder="1" applyAlignment="1">
      <alignment horizontal="right"/>
    </xf>
    <xf numFmtId="43" fontId="37" fillId="0" borderId="1" xfId="0" applyNumberFormat="1" applyFont="1" applyBorder="1"/>
    <xf numFmtId="43" fontId="21" fillId="0" borderId="25" xfId="0" applyNumberFormat="1" applyFont="1" applyBorder="1"/>
    <xf numFmtId="43" fontId="37" fillId="0" borderId="0" xfId="0" applyNumberFormat="1" applyFont="1" applyAlignment="1">
      <alignment horizontal="center"/>
    </xf>
    <xf numFmtId="43" fontId="33" fillId="0" borderId="0" xfId="0" applyNumberFormat="1" applyFont="1"/>
    <xf numFmtId="165" fontId="22" fillId="4" borderId="0" xfId="0" applyNumberFormat="1" applyFont="1" applyFill="1" applyAlignment="1">
      <alignment horizontal="right"/>
    </xf>
    <xf numFmtId="0" fontId="38" fillId="0" borderId="0" xfId="0" applyFont="1"/>
    <xf numFmtId="0" fontId="33" fillId="0" borderId="0" xfId="0" applyFont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5" borderId="8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22" fillId="12" borderId="0" xfId="0" applyFont="1" applyFill="1"/>
    <xf numFmtId="0" fontId="22" fillId="13" borderId="0" xfId="0" applyFont="1" applyFill="1"/>
    <xf numFmtId="0" fontId="22" fillId="14" borderId="0" xfId="0" applyFont="1" applyFill="1"/>
    <xf numFmtId="0" fontId="22" fillId="11" borderId="0" xfId="0" applyFont="1" applyFill="1"/>
    <xf numFmtId="14" fontId="22" fillId="15" borderId="0" xfId="0" applyNumberFormat="1" applyFont="1" applyFill="1"/>
    <xf numFmtId="0" fontId="22" fillId="16" borderId="0" xfId="0" applyFont="1" applyFill="1"/>
    <xf numFmtId="0" fontId="22" fillId="17" borderId="0" xfId="0" applyFont="1" applyFill="1"/>
    <xf numFmtId="0" fontId="22" fillId="18" borderId="0" xfId="0" applyFont="1" applyFill="1"/>
    <xf numFmtId="0" fontId="22" fillId="19" borderId="0" xfId="0" applyFont="1" applyFill="1"/>
    <xf numFmtId="0" fontId="22" fillId="20" borderId="0" xfId="0" applyFont="1" applyFill="1"/>
    <xf numFmtId="0" fontId="22" fillId="21" borderId="0" xfId="0" applyFont="1" applyFill="1"/>
    <xf numFmtId="165" fontId="33" fillId="17" borderId="0" xfId="0" applyNumberFormat="1" applyFont="1" applyFill="1" applyAlignment="1">
      <alignment horizontal="right"/>
    </xf>
    <xf numFmtId="165" fontId="33" fillId="14" borderId="0" xfId="0" applyNumberFormat="1" applyFont="1" applyFill="1" applyAlignment="1">
      <alignment horizontal="right"/>
    </xf>
    <xf numFmtId="0" fontId="17" fillId="3" borderId="0" xfId="0" applyFont="1" applyFill="1"/>
    <xf numFmtId="0" fontId="22" fillId="9" borderId="2" xfId="0" applyFont="1" applyFill="1" applyBorder="1" applyAlignment="1">
      <alignment horizontal="left"/>
    </xf>
    <xf numFmtId="0" fontId="22" fillId="9" borderId="2" xfId="0" applyFont="1" applyFill="1" applyBorder="1" applyAlignment="1">
      <alignment horizontal="center"/>
    </xf>
    <xf numFmtId="0" fontId="33" fillId="9" borderId="2" xfId="0" applyFont="1" applyFill="1" applyBorder="1" applyAlignment="1">
      <alignment horizontal="center"/>
    </xf>
    <xf numFmtId="43" fontId="22" fillId="0" borderId="5" xfId="0" applyNumberFormat="1" applyFont="1" applyBorder="1"/>
    <xf numFmtId="6" fontId="22" fillId="3" borderId="0" xfId="0" applyNumberFormat="1" applyFont="1" applyFill="1"/>
    <xf numFmtId="14" fontId="23" fillId="3" borderId="0" xfId="0" applyNumberFormat="1" applyFont="1" applyFill="1"/>
    <xf numFmtId="43" fontId="16" fillId="0" borderId="5" xfId="0" applyNumberFormat="1" applyFont="1" applyBorder="1"/>
    <xf numFmtId="43" fontId="16" fillId="0" borderId="4" xfId="0" applyNumberFormat="1" applyFont="1" applyBorder="1"/>
    <xf numFmtId="43" fontId="33" fillId="0" borderId="4" xfId="0" applyNumberFormat="1" applyFont="1" applyBorder="1"/>
    <xf numFmtId="43" fontId="33" fillId="0" borderId="5" xfId="0" applyNumberFormat="1" applyFont="1" applyBorder="1"/>
    <xf numFmtId="43" fontId="33" fillId="0" borderId="3" xfId="0" applyNumberFormat="1" applyFont="1" applyBorder="1"/>
    <xf numFmtId="43" fontId="16" fillId="0" borderId="3" xfId="0" applyNumberFormat="1" applyFont="1" applyBorder="1"/>
    <xf numFmtId="14" fontId="22" fillId="22" borderId="0" xfId="0" applyNumberFormat="1" applyFont="1" applyFill="1" applyAlignment="1">
      <alignment horizontal="center"/>
    </xf>
    <xf numFmtId="0" fontId="20" fillId="11" borderId="30" xfId="0" applyFont="1" applyFill="1" applyBorder="1" applyAlignment="1">
      <alignment horizontal="right"/>
    </xf>
    <xf numFmtId="0" fontId="20" fillId="11" borderId="31" xfId="0" applyFont="1" applyFill="1" applyBorder="1" applyAlignment="1">
      <alignment horizontal="right"/>
    </xf>
    <xf numFmtId="0" fontId="20" fillId="11" borderId="27" xfId="0" applyFont="1" applyFill="1" applyBorder="1"/>
    <xf numFmtId="0" fontId="29" fillId="4" borderId="0" xfId="0" applyFont="1" applyFill="1" applyAlignment="1">
      <alignment horizontal="right"/>
    </xf>
    <xf numFmtId="43" fontId="29" fillId="3" borderId="3" xfId="0" applyNumberFormat="1" applyFont="1" applyFill="1" applyBorder="1" applyAlignment="1">
      <alignment horizontal="right"/>
    </xf>
    <xf numFmtId="43" fontId="29" fillId="3" borderId="5" xfId="0" applyNumberFormat="1" applyFont="1" applyFill="1" applyBorder="1" applyAlignment="1">
      <alignment horizontal="right"/>
    </xf>
    <xf numFmtId="0" fontId="15" fillId="4" borderId="0" xfId="0" applyFont="1" applyFill="1"/>
    <xf numFmtId="43" fontId="15" fillId="0" borderId="4" xfId="0" applyNumberFormat="1" applyFont="1" applyBorder="1"/>
    <xf numFmtId="0" fontId="15" fillId="4" borderId="2" xfId="0" applyFont="1" applyFill="1" applyBorder="1"/>
    <xf numFmtId="0" fontId="15" fillId="0" borderId="2" xfId="0" applyFont="1" applyBorder="1"/>
    <xf numFmtId="43" fontId="15" fillId="0" borderId="5" xfId="0" applyNumberFormat="1" applyFont="1" applyBorder="1"/>
    <xf numFmtId="43" fontId="15" fillId="0" borderId="3" xfId="0" applyNumberFormat="1" applyFont="1" applyBorder="1"/>
    <xf numFmtId="0" fontId="15" fillId="3" borderId="0" xfId="0" applyFont="1" applyFill="1"/>
    <xf numFmtId="0" fontId="15" fillId="3" borderId="2" xfId="0" applyFont="1" applyFill="1" applyBorder="1"/>
    <xf numFmtId="0" fontId="22" fillId="2" borderId="0" xfId="0" applyFont="1" applyFill="1" applyAlignment="1">
      <alignment horizontal="right"/>
    </xf>
    <xf numFmtId="0" fontId="30" fillId="2" borderId="2" xfId="0" applyFont="1" applyFill="1" applyBorder="1"/>
    <xf numFmtId="43" fontId="29" fillId="0" borderId="25" xfId="0" applyNumberFormat="1" applyFont="1" applyBorder="1"/>
    <xf numFmtId="43" fontId="29" fillId="0" borderId="1" xfId="0" applyNumberFormat="1" applyFont="1" applyBorder="1"/>
    <xf numFmtId="43" fontId="29" fillId="0" borderId="32" xfId="0" applyNumberFormat="1" applyFont="1" applyBorder="1"/>
    <xf numFmtId="43" fontId="20" fillId="0" borderId="1" xfId="0" applyNumberFormat="1" applyFont="1" applyBorder="1"/>
    <xf numFmtId="43" fontId="29" fillId="11" borderId="16" xfId="0" applyNumberFormat="1" applyFont="1" applyFill="1" applyBorder="1"/>
    <xf numFmtId="0" fontId="22" fillId="4" borderId="0" xfId="0" applyFont="1" applyFill="1" applyAlignment="1">
      <alignment horizontal="right"/>
    </xf>
    <xf numFmtId="0" fontId="22" fillId="23" borderId="0" xfId="0" applyFont="1" applyFill="1"/>
    <xf numFmtId="0" fontId="22" fillId="23" borderId="2" xfId="0" applyFont="1" applyFill="1" applyBorder="1"/>
    <xf numFmtId="165" fontId="33" fillId="23" borderId="0" xfId="0" applyNumberFormat="1" applyFont="1" applyFill="1" applyAlignment="1">
      <alignment horizontal="right"/>
    </xf>
    <xf numFmtId="0" fontId="14" fillId="0" borderId="2" xfId="0" applyFont="1" applyBorder="1"/>
    <xf numFmtId="43" fontId="22" fillId="0" borderId="0" xfId="1" applyFont="1" applyFill="1" applyBorder="1"/>
    <xf numFmtId="0" fontId="22" fillId="0" borderId="0" xfId="1" applyNumberFormat="1" applyFont="1" applyFill="1"/>
    <xf numFmtId="0" fontId="22" fillId="0" borderId="1" xfId="1" applyNumberFormat="1" applyFont="1" applyFill="1" applyBorder="1"/>
    <xf numFmtId="0" fontId="13" fillId="4" borderId="0" xfId="0" applyFont="1" applyFill="1"/>
    <xf numFmtId="0" fontId="40" fillId="24" borderId="0" xfId="0" applyFont="1" applyFill="1" applyAlignment="1">
      <alignment horizontal="right"/>
    </xf>
    <xf numFmtId="0" fontId="40" fillId="24" borderId="0" xfId="0" applyFont="1" applyFill="1"/>
    <xf numFmtId="43" fontId="40" fillId="24" borderId="3" xfId="0" applyNumberFormat="1" applyFont="1" applyFill="1" applyBorder="1" applyAlignment="1">
      <alignment horizontal="right"/>
    </xf>
    <xf numFmtId="0" fontId="40" fillId="24" borderId="1" xfId="0" applyFont="1" applyFill="1" applyBorder="1" applyAlignment="1">
      <alignment horizontal="right"/>
    </xf>
    <xf numFmtId="0" fontId="40" fillId="24" borderId="1" xfId="0" applyFont="1" applyFill="1" applyBorder="1"/>
    <xf numFmtId="0" fontId="40" fillId="24" borderId="19" xfId="0" applyFont="1" applyFill="1" applyBorder="1"/>
    <xf numFmtId="0" fontId="40" fillId="24" borderId="24" xfId="0" applyFont="1" applyFill="1" applyBorder="1" applyAlignment="1">
      <alignment horizontal="right"/>
    </xf>
    <xf numFmtId="0" fontId="12" fillId="4" borderId="0" xfId="0" applyFont="1" applyFill="1"/>
    <xf numFmtId="0" fontId="21" fillId="0" borderId="25" xfId="0" applyFont="1" applyBorder="1"/>
    <xf numFmtId="43" fontId="11" fillId="0" borderId="4" xfId="0" applyNumberFormat="1" applyFont="1" applyBorder="1"/>
    <xf numFmtId="0" fontId="22" fillId="0" borderId="9" xfId="0" applyFont="1" applyBorder="1" applyAlignment="1">
      <alignment horizontal="center"/>
    </xf>
    <xf numFmtId="14" fontId="23" fillId="4" borderId="9" xfId="0" applyNumberFormat="1" applyFont="1" applyFill="1" applyBorder="1"/>
    <xf numFmtId="14" fontId="33" fillId="4" borderId="9" xfId="0" applyNumberFormat="1" applyFont="1" applyFill="1" applyBorder="1"/>
    <xf numFmtId="43" fontId="22" fillId="5" borderId="2" xfId="1" applyFont="1" applyFill="1" applyBorder="1"/>
    <xf numFmtId="0" fontId="11" fillId="4" borderId="9" xfId="0" applyFont="1" applyFill="1" applyBorder="1"/>
    <xf numFmtId="0" fontId="11" fillId="4" borderId="0" xfId="0" applyFont="1" applyFill="1"/>
    <xf numFmtId="0" fontId="10" fillId="4" borderId="0" xfId="0" applyFont="1" applyFill="1"/>
    <xf numFmtId="14" fontId="33" fillId="4" borderId="0" xfId="0" applyNumberFormat="1" applyFont="1" applyFill="1" applyAlignment="1">
      <alignment horizontal="left"/>
    </xf>
    <xf numFmtId="43" fontId="10" fillId="0" borderId="4" xfId="0" applyNumberFormat="1" applyFont="1" applyBorder="1"/>
    <xf numFmtId="14" fontId="33" fillId="4" borderId="0" xfId="0" applyNumberFormat="1" applyFont="1" applyFill="1" applyAlignment="1">
      <alignment horizontal="right"/>
    </xf>
    <xf numFmtId="6" fontId="39" fillId="4" borderId="2" xfId="0" applyNumberFormat="1" applyFont="1" applyFill="1" applyBorder="1" applyAlignment="1">
      <alignment horizontal="left"/>
    </xf>
    <xf numFmtId="0" fontId="10" fillId="4" borderId="2" xfId="0" applyFont="1" applyFill="1" applyBorder="1"/>
    <xf numFmtId="0" fontId="10" fillId="0" borderId="2" xfId="0" applyFont="1" applyBorder="1"/>
    <xf numFmtId="43" fontId="10" fillId="0" borderId="5" xfId="0" applyNumberFormat="1" applyFont="1" applyBorder="1"/>
    <xf numFmtId="14" fontId="22" fillId="4" borderId="0" xfId="0" applyNumberFormat="1" applyFont="1" applyFill="1" applyAlignment="1">
      <alignment horizontal="left"/>
    </xf>
    <xf numFmtId="14" fontId="22" fillId="4" borderId="2" xfId="0" applyNumberFormat="1" applyFont="1" applyFill="1" applyBorder="1" applyAlignment="1">
      <alignment horizontal="left"/>
    </xf>
    <xf numFmtId="43" fontId="10" fillId="0" borderId="3" xfId="0" applyNumberFormat="1" applyFont="1" applyBorder="1"/>
    <xf numFmtId="0" fontId="10" fillId="3" borderId="2" xfId="0" applyFont="1" applyFill="1" applyBorder="1"/>
    <xf numFmtId="0" fontId="10" fillId="2" borderId="2" xfId="0" applyFont="1" applyFill="1" applyBorder="1"/>
    <xf numFmtId="0" fontId="41" fillId="8" borderId="0" xfId="0" applyFont="1" applyFill="1" applyAlignment="1">
      <alignment horizontal="left"/>
    </xf>
    <xf numFmtId="0" fontId="22" fillId="0" borderId="0" xfId="0" quotePrefix="1" applyFont="1" applyAlignment="1">
      <alignment horizontal="left"/>
    </xf>
    <xf numFmtId="0" fontId="39" fillId="0" borderId="27" xfId="0" applyFont="1" applyBorder="1" applyAlignment="1">
      <alignment horizontal="left"/>
    </xf>
    <xf numFmtId="0" fontId="33" fillId="2" borderId="0" xfId="0" applyFont="1" applyFill="1"/>
    <xf numFmtId="0" fontId="9" fillId="4" borderId="2" xfId="0" applyFont="1" applyFill="1" applyBorder="1"/>
    <xf numFmtId="43" fontId="36" fillId="0" borderId="0" xfId="0" applyNumberFormat="1" applyFont="1"/>
    <xf numFmtId="0" fontId="20" fillId="0" borderId="6" xfId="0" applyFont="1" applyBorder="1"/>
    <xf numFmtId="44" fontId="23" fillId="0" borderId="6" xfId="0" applyNumberFormat="1" applyFont="1" applyBorder="1"/>
    <xf numFmtId="166" fontId="33" fillId="0" borderId="0" xfId="3" applyNumberFormat="1" applyFont="1" applyFill="1" applyAlignment="1">
      <alignment horizontal="center"/>
    </xf>
    <xf numFmtId="10" fontId="22" fillId="0" borderId="2" xfId="0" applyNumberFormat="1" applyFont="1" applyBorder="1" applyAlignment="1">
      <alignment horizontal="left"/>
    </xf>
    <xf numFmtId="0" fontId="22" fillId="0" borderId="2" xfId="0" quotePrefix="1" applyFont="1" applyBorder="1" applyAlignment="1">
      <alignment horizontal="left"/>
    </xf>
    <xf numFmtId="0" fontId="8" fillId="0" borderId="2" xfId="0" applyFont="1" applyBorder="1"/>
    <xf numFmtId="43" fontId="33" fillId="0" borderId="6" xfId="1" applyFont="1" applyBorder="1"/>
    <xf numFmtId="43" fontId="33" fillId="0" borderId="6" xfId="1" applyFont="1" applyFill="1" applyBorder="1"/>
    <xf numFmtId="43" fontId="33" fillId="0" borderId="6" xfId="0" applyNumberFormat="1" applyFont="1" applyBorder="1"/>
    <xf numFmtId="43" fontId="30" fillId="0" borderId="6" xfId="0" applyNumberFormat="1" applyFont="1" applyBorder="1"/>
    <xf numFmtId="43" fontId="8" fillId="0" borderId="5" xfId="0" applyNumberFormat="1" applyFont="1" applyBorder="1"/>
    <xf numFmtId="0" fontId="38" fillId="4" borderId="2" xfId="0" applyFont="1" applyFill="1" applyBorder="1" applyAlignment="1">
      <alignment horizontal="right"/>
    </xf>
    <xf numFmtId="0" fontId="8" fillId="0" borderId="0" xfId="0" applyFont="1"/>
    <xf numFmtId="43" fontId="33" fillId="0" borderId="1" xfId="1" applyFont="1" applyBorder="1"/>
    <xf numFmtId="43" fontId="39" fillId="0" borderId="0" xfId="1" applyFont="1" applyFill="1"/>
    <xf numFmtId="43" fontId="39" fillId="0" borderId="0" xfId="0" applyNumberFormat="1" applyFont="1"/>
    <xf numFmtId="43" fontId="8" fillId="0" borderId="0" xfId="0" applyNumberFormat="1" applyFont="1"/>
    <xf numFmtId="43" fontId="8" fillId="0" borderId="0" xfId="2" applyNumberFormat="1" applyFont="1" applyFill="1"/>
    <xf numFmtId="43" fontId="8" fillId="0" borderId="4" xfId="0" applyNumberFormat="1" applyFont="1" applyBorder="1"/>
    <xf numFmtId="43" fontId="33" fillId="0" borderId="0" xfId="1" applyFont="1"/>
    <xf numFmtId="0" fontId="8" fillId="4" borderId="0" xfId="0" applyFont="1" applyFill="1"/>
    <xf numFmtId="43" fontId="39" fillId="0" borderId="0" xfId="4" applyNumberFormat="1" applyFont="1"/>
    <xf numFmtId="0" fontId="33" fillId="11" borderId="0" xfId="0" applyFont="1" applyFill="1"/>
    <xf numFmtId="0" fontId="33" fillId="13" borderId="0" xfId="0" applyFont="1" applyFill="1"/>
    <xf numFmtId="0" fontId="33" fillId="16" borderId="0" xfId="0" applyFont="1" applyFill="1"/>
    <xf numFmtId="43" fontId="39" fillId="0" borderId="0" xfId="1" applyFont="1"/>
    <xf numFmtId="43" fontId="33" fillId="0" borderId="0" xfId="1" applyFont="1" applyFill="1"/>
    <xf numFmtId="43" fontId="8" fillId="0" borderId="0" xfId="0" applyNumberFormat="1" applyFont="1" applyAlignment="1">
      <alignment horizontal="center"/>
    </xf>
    <xf numFmtId="0" fontId="33" fillId="18" borderId="9" xfId="0" applyFont="1" applyFill="1" applyBorder="1"/>
    <xf numFmtId="43" fontId="39" fillId="0" borderId="0" xfId="0" applyNumberFormat="1" applyFont="1" applyAlignment="1">
      <alignment horizontal="center"/>
    </xf>
    <xf numFmtId="0" fontId="33" fillId="18" borderId="0" xfId="0" applyFont="1" applyFill="1"/>
    <xf numFmtId="0" fontId="33" fillId="12" borderId="0" xfId="0" applyFont="1" applyFill="1"/>
    <xf numFmtId="0" fontId="20" fillId="4" borderId="2" xfId="0" applyFont="1" applyFill="1" applyBorder="1" applyAlignment="1">
      <alignment horizontal="right"/>
    </xf>
    <xf numFmtId="0" fontId="33" fillId="21" borderId="0" xfId="0" applyFont="1" applyFill="1"/>
    <xf numFmtId="0" fontId="7" fillId="4" borderId="2" xfId="0" applyFont="1" applyFill="1" applyBorder="1"/>
    <xf numFmtId="0" fontId="22" fillId="0" borderId="2" xfId="0" applyFont="1" applyBorder="1" applyAlignment="1">
      <alignment horizontal="left"/>
    </xf>
    <xf numFmtId="14" fontId="22" fillId="6" borderId="0" xfId="0" applyNumberFormat="1" applyFont="1" applyFill="1" applyAlignment="1">
      <alignment horizontal="center"/>
    </xf>
    <xf numFmtId="14" fontId="22" fillId="3" borderId="0" xfId="0" applyNumberFormat="1" applyFont="1" applyFill="1" applyAlignment="1">
      <alignment horizontal="center"/>
    </xf>
    <xf numFmtId="14" fontId="22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left"/>
    </xf>
    <xf numFmtId="43" fontId="6" fillId="0" borderId="0" xfId="0" applyNumberFormat="1" applyFont="1"/>
    <xf numFmtId="0" fontId="6" fillId="0" borderId="0" xfId="0" applyFont="1"/>
    <xf numFmtId="43" fontId="6" fillId="0" borderId="4" xfId="0" applyNumberFormat="1" applyFont="1" applyBorder="1"/>
    <xf numFmtId="43" fontId="39" fillId="0" borderId="0" xfId="1" applyFont="1" applyFill="1" applyAlignment="1">
      <alignment horizontal="center"/>
    </xf>
    <xf numFmtId="0" fontId="30" fillId="2" borderId="2" xfId="0" applyFont="1" applyFill="1" applyBorder="1" applyAlignment="1">
      <alignment horizontal="left"/>
    </xf>
    <xf numFmtId="0" fontId="6" fillId="0" borderId="2" xfId="0" applyFont="1" applyBorder="1"/>
    <xf numFmtId="43" fontId="6" fillId="0" borderId="5" xfId="0" applyNumberFormat="1" applyFont="1" applyBorder="1"/>
    <xf numFmtId="43" fontId="6" fillId="0" borderId="3" xfId="0" applyNumberFormat="1" applyFont="1" applyBorder="1"/>
    <xf numFmtId="43" fontId="6" fillId="0" borderId="0" xfId="2" applyNumberFormat="1" applyFont="1" applyFill="1"/>
    <xf numFmtId="0" fontId="6" fillId="3" borderId="0" xfId="0" applyFont="1" applyFill="1"/>
    <xf numFmtId="0" fontId="6" fillId="3" borderId="2" xfId="0" applyFont="1" applyFill="1" applyBorder="1"/>
    <xf numFmtId="0" fontId="6" fillId="4" borderId="0" xfId="0" applyFont="1" applyFill="1"/>
    <xf numFmtId="43" fontId="6" fillId="0" borderId="0" xfId="0" applyNumberFormat="1" applyFont="1" applyAlignment="1">
      <alignment horizontal="center"/>
    </xf>
    <xf numFmtId="43" fontId="39" fillId="0" borderId="0" xfId="1" applyFont="1" applyAlignment="1">
      <alignment horizontal="center"/>
    </xf>
    <xf numFmtId="43" fontId="6" fillId="0" borderId="0" xfId="0" applyNumberFormat="1" applyFont="1" applyAlignment="1">
      <alignment horizontal="right"/>
    </xf>
    <xf numFmtId="0" fontId="30" fillId="4" borderId="2" xfId="0" applyFont="1" applyFill="1" applyBorder="1" applyAlignment="1">
      <alignment horizontal="left"/>
    </xf>
    <xf numFmtId="43" fontId="6" fillId="0" borderId="0" xfId="2" applyNumberFormat="1" applyFont="1" applyFill="1" applyBorder="1"/>
    <xf numFmtId="43" fontId="39" fillId="0" borderId="0" xfId="1" applyFont="1" applyFill="1" applyBorder="1"/>
    <xf numFmtId="43" fontId="33" fillId="0" borderId="0" xfId="1" applyFont="1" applyBorder="1"/>
    <xf numFmtId="0" fontId="43" fillId="4" borderId="2" xfId="0" applyFont="1" applyFill="1" applyBorder="1" applyAlignment="1">
      <alignment horizontal="right"/>
    </xf>
    <xf numFmtId="14" fontId="33" fillId="2" borderId="0" xfId="0" applyNumberFormat="1" applyFont="1" applyFill="1" applyAlignment="1">
      <alignment horizontal="right"/>
    </xf>
    <xf numFmtId="14" fontId="39" fillId="3" borderId="0" xfId="0" applyNumberFormat="1" applyFont="1" applyFill="1" applyAlignment="1">
      <alignment horizontal="right"/>
    </xf>
    <xf numFmtId="43" fontId="30" fillId="0" borderId="1" xfId="1" applyFont="1" applyFill="1" applyBorder="1"/>
    <xf numFmtId="43" fontId="5" fillId="0" borderId="0" xfId="0" applyNumberFormat="1" applyFont="1"/>
    <xf numFmtId="0" fontId="22" fillId="4" borderId="9" xfId="0" applyFont="1" applyFill="1" applyBorder="1"/>
    <xf numFmtId="0" fontId="4" fillId="4" borderId="2" xfId="0" applyFont="1" applyFill="1" applyBorder="1"/>
    <xf numFmtId="0" fontId="33" fillId="17" borderId="0" xfId="0" applyFont="1" applyFill="1"/>
    <xf numFmtId="0" fontId="33" fillId="14" borderId="0" xfId="0" applyFont="1" applyFill="1"/>
    <xf numFmtId="0" fontId="22" fillId="18" borderId="9" xfId="0" applyFont="1" applyFill="1" applyBorder="1"/>
    <xf numFmtId="43" fontId="41" fillId="0" borderId="0" xfId="0" applyNumberFormat="1" applyFont="1"/>
    <xf numFmtId="43" fontId="41" fillId="0" borderId="1" xfId="0" applyNumberFormat="1" applyFont="1" applyBorder="1"/>
    <xf numFmtId="43" fontId="41" fillId="0" borderId="2" xfId="0" applyNumberFormat="1" applyFont="1" applyBorder="1"/>
    <xf numFmtId="43" fontId="30" fillId="0" borderId="0" xfId="0" applyNumberFormat="1" applyFont="1"/>
    <xf numFmtId="43" fontId="30" fillId="0" borderId="0" xfId="0" applyNumberFormat="1" applyFont="1" applyAlignment="1">
      <alignment horizontal="center"/>
    </xf>
    <xf numFmtId="43" fontId="30" fillId="0" borderId="1" xfId="0" applyNumberFormat="1" applyFont="1" applyBorder="1"/>
    <xf numFmtId="0" fontId="22" fillId="0" borderId="0" xfId="0" quotePrefix="1" applyFont="1" applyAlignment="1">
      <alignment horizontal="center"/>
    </xf>
    <xf numFmtId="0" fontId="30" fillId="2" borderId="0" xfId="0" applyFont="1" applyFill="1"/>
    <xf numFmtId="0" fontId="22" fillId="3" borderId="0" xfId="0" applyFont="1" applyFill="1" applyAlignment="1">
      <alignment horizontal="right"/>
    </xf>
    <xf numFmtId="165" fontId="33" fillId="11" borderId="0" xfId="0" applyNumberFormat="1" applyFont="1" applyFill="1" applyAlignment="1">
      <alignment horizontal="right"/>
    </xf>
    <xf numFmtId="43" fontId="36" fillId="0" borderId="7" xfId="0" applyNumberFormat="1" applyFont="1" applyBorder="1"/>
    <xf numFmtId="0" fontId="3" fillId="4" borderId="0" xfId="0" applyFont="1" applyFill="1"/>
    <xf numFmtId="0" fontId="20" fillId="0" borderId="12" xfId="0" applyFont="1" applyBorder="1"/>
    <xf numFmtId="43" fontId="22" fillId="0" borderId="1" xfId="2" applyNumberFormat="1" applyFont="1" applyFill="1" applyBorder="1"/>
    <xf numFmtId="14" fontId="22" fillId="4" borderId="0" xfId="0" applyNumberFormat="1" applyFont="1" applyFill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22" fillId="8" borderId="0" xfId="0" applyFont="1" applyFill="1"/>
    <xf numFmtId="0" fontId="22" fillId="8" borderId="1" xfId="0" applyFont="1" applyFill="1" applyBorder="1"/>
    <xf numFmtId="0" fontId="22" fillId="8" borderId="6" xfId="0" applyFont="1" applyFill="1" applyBorder="1"/>
    <xf numFmtId="0" fontId="23" fillId="8" borderId="1" xfId="0" applyFont="1" applyFill="1" applyBorder="1"/>
    <xf numFmtId="0" fontId="23" fillId="8" borderId="6" xfId="0" applyFont="1" applyFill="1" applyBorder="1"/>
    <xf numFmtId="0" fontId="22" fillId="8" borderId="9" xfId="0" applyFont="1" applyFill="1" applyBorder="1"/>
    <xf numFmtId="0" fontId="22" fillId="8" borderId="12" xfId="0" applyFont="1" applyFill="1" applyBorder="1"/>
    <xf numFmtId="43" fontId="22" fillId="8" borderId="0" xfId="1" applyFont="1" applyFill="1"/>
    <xf numFmtId="43" fontId="22" fillId="8" borderId="1" xfId="2" applyNumberFormat="1" applyFont="1" applyFill="1" applyBorder="1"/>
    <xf numFmtId="43" fontId="22" fillId="8" borderId="6" xfId="0" applyNumberFormat="1" applyFont="1" applyFill="1" applyBorder="1"/>
    <xf numFmtId="43" fontId="22" fillId="8" borderId="1" xfId="1" applyFont="1" applyFill="1" applyBorder="1"/>
    <xf numFmtId="43" fontId="23" fillId="8" borderId="0" xfId="0" applyNumberFormat="1" applyFont="1" applyFill="1"/>
    <xf numFmtId="43" fontId="23" fillId="8" borderId="1" xfId="0" applyNumberFormat="1" applyFont="1" applyFill="1" applyBorder="1"/>
    <xf numFmtId="43" fontId="23" fillId="8" borderId="6" xfId="0" applyNumberFormat="1" applyFont="1" applyFill="1" applyBorder="1"/>
    <xf numFmtId="43" fontId="22" fillId="8" borderId="0" xfId="0" applyNumberFormat="1" applyFont="1" applyFill="1"/>
    <xf numFmtId="43" fontId="22" fillId="8" borderId="1" xfId="0" applyNumberFormat="1" applyFont="1" applyFill="1" applyBorder="1"/>
    <xf numFmtId="43" fontId="23" fillId="8" borderId="2" xfId="0" applyNumberFormat="1" applyFont="1" applyFill="1" applyBorder="1"/>
    <xf numFmtId="43" fontId="23" fillId="8" borderId="9" xfId="0" applyNumberFormat="1" applyFont="1" applyFill="1" applyBorder="1"/>
    <xf numFmtId="43" fontId="20" fillId="8" borderId="9" xfId="0" applyNumberFormat="1" applyFont="1" applyFill="1" applyBorder="1"/>
    <xf numFmtId="43" fontId="39" fillId="8" borderId="0" xfId="0" applyNumberFormat="1" applyFont="1" applyFill="1"/>
    <xf numFmtId="43" fontId="33" fillId="8" borderId="6" xfId="1" applyFont="1" applyFill="1" applyBorder="1"/>
    <xf numFmtId="43" fontId="39" fillId="8" borderId="0" xfId="0" applyNumberFormat="1" applyFont="1" applyFill="1" applyAlignment="1">
      <alignment horizontal="center"/>
    </xf>
    <xf numFmtId="43" fontId="6" fillId="8" borderId="0" xfId="0" applyNumberFormat="1" applyFont="1" applyFill="1" applyAlignment="1">
      <alignment horizontal="center"/>
    </xf>
    <xf numFmtId="43" fontId="6" fillId="8" borderId="0" xfId="0" applyNumberFormat="1" applyFont="1" applyFill="1"/>
    <xf numFmtId="43" fontId="6" fillId="8" borderId="0" xfId="0" applyNumberFormat="1" applyFont="1" applyFill="1" applyAlignment="1">
      <alignment horizontal="right"/>
    </xf>
    <xf numFmtId="0" fontId="22" fillId="8" borderId="1" xfId="1" applyNumberFormat="1" applyFont="1" applyFill="1" applyBorder="1"/>
    <xf numFmtId="43" fontId="22" fillId="8" borderId="0" xfId="1" applyFont="1" applyFill="1" applyBorder="1"/>
    <xf numFmtId="43" fontId="36" fillId="8" borderId="6" xfId="0" applyNumberFormat="1" applyFont="1" applyFill="1" applyBorder="1"/>
    <xf numFmtId="0" fontId="22" fillId="8" borderId="19" xfId="0" applyFont="1" applyFill="1" applyBorder="1"/>
    <xf numFmtId="43" fontId="29" fillId="8" borderId="0" xfId="0" applyNumberFormat="1" applyFont="1" applyFill="1"/>
    <xf numFmtId="43" fontId="29" fillId="8" borderId="2" xfId="0" applyNumberFormat="1" applyFont="1" applyFill="1" applyBorder="1"/>
    <xf numFmtId="43" fontId="20" fillId="8" borderId="0" xfId="0" applyNumberFormat="1" applyFont="1" applyFill="1"/>
    <xf numFmtId="43" fontId="20" fillId="8" borderId="2" xfId="0" applyNumberFormat="1" applyFont="1" applyFill="1" applyBorder="1"/>
    <xf numFmtId="43" fontId="21" fillId="8" borderId="0" xfId="0" applyNumberFormat="1" applyFont="1" applyFill="1"/>
    <xf numFmtId="0" fontId="22" fillId="8" borderId="21" xfId="0" applyFont="1" applyFill="1" applyBorder="1"/>
    <xf numFmtId="43" fontId="29" fillId="8" borderId="16" xfId="0" applyNumberFormat="1" applyFont="1" applyFill="1" applyBorder="1"/>
    <xf numFmtId="43" fontId="29" fillId="8" borderId="23" xfId="0" applyNumberFormat="1" applyFont="1" applyFill="1" applyBorder="1"/>
    <xf numFmtId="43" fontId="29" fillId="8" borderId="19" xfId="0" applyNumberFormat="1" applyFont="1" applyFill="1" applyBorder="1"/>
    <xf numFmtId="0" fontId="29" fillId="0" borderId="2" xfId="0" applyFont="1" applyBorder="1"/>
    <xf numFmtId="0" fontId="2" fillId="4" borderId="2" xfId="0" applyFont="1" applyFill="1" applyBorder="1"/>
    <xf numFmtId="43" fontId="36" fillId="0" borderId="4" xfId="0" applyNumberFormat="1" applyFont="1" applyBorder="1"/>
    <xf numFmtId="0" fontId="20" fillId="6" borderId="2" xfId="0" applyFont="1" applyFill="1" applyBorder="1" applyAlignment="1">
      <alignment horizontal="center"/>
    </xf>
    <xf numFmtId="0" fontId="22" fillId="6" borderId="1" xfId="0" applyFont="1" applyFill="1" applyBorder="1"/>
    <xf numFmtId="0" fontId="22" fillId="6" borderId="6" xfId="0" applyFont="1" applyFill="1" applyBorder="1"/>
    <xf numFmtId="0" fontId="22" fillId="6" borderId="9" xfId="0" applyFont="1" applyFill="1" applyBorder="1"/>
    <xf numFmtId="0" fontId="22" fillId="6" borderId="12" xfId="0" applyFont="1" applyFill="1" applyBorder="1"/>
    <xf numFmtId="43" fontId="22" fillId="6" borderId="0" xfId="1" applyFont="1" applyFill="1"/>
    <xf numFmtId="43" fontId="22" fillId="6" borderId="1" xfId="2" applyNumberFormat="1" applyFont="1" applyFill="1" applyBorder="1"/>
    <xf numFmtId="43" fontId="22" fillId="6" borderId="6" xfId="0" applyNumberFormat="1" applyFont="1" applyFill="1" applyBorder="1"/>
    <xf numFmtId="43" fontId="22" fillId="6" borderId="1" xfId="1" applyFont="1" applyFill="1" applyBorder="1"/>
    <xf numFmtId="43" fontId="23" fillId="6" borderId="0" xfId="0" applyNumberFormat="1" applyFont="1" applyFill="1"/>
    <xf numFmtId="43" fontId="23" fillId="6" borderId="1" xfId="0" applyNumberFormat="1" applyFont="1" applyFill="1" applyBorder="1"/>
    <xf numFmtId="43" fontId="23" fillId="6" borderId="6" xfId="0" applyNumberFormat="1" applyFont="1" applyFill="1" applyBorder="1"/>
    <xf numFmtId="43" fontId="22" fillId="6" borderId="0" xfId="0" applyNumberFormat="1" applyFont="1" applyFill="1"/>
    <xf numFmtId="43" fontId="22" fillId="6" borderId="1" xfId="0" applyNumberFormat="1" applyFont="1" applyFill="1" applyBorder="1"/>
    <xf numFmtId="43" fontId="23" fillId="6" borderId="2" xfId="0" applyNumberFormat="1" applyFont="1" applyFill="1" applyBorder="1"/>
    <xf numFmtId="43" fontId="23" fillId="6" borderId="9" xfId="0" applyNumberFormat="1" applyFont="1" applyFill="1" applyBorder="1"/>
    <xf numFmtId="0" fontId="33" fillId="0" borderId="9" xfId="0" applyFont="1" applyBorder="1" applyAlignment="1">
      <alignment horizontal="center"/>
    </xf>
    <xf numFmtId="0" fontId="23" fillId="6" borderId="9" xfId="0" applyFont="1" applyFill="1" applyBorder="1"/>
    <xf numFmtId="0" fontId="22" fillId="6" borderId="0" xfId="1" applyNumberFormat="1" applyFont="1" applyFill="1"/>
    <xf numFmtId="0" fontId="22" fillId="6" borderId="1" xfId="2" applyNumberFormat="1" applyFont="1" applyFill="1" applyBorder="1"/>
    <xf numFmtId="43" fontId="20" fillId="6" borderId="9" xfId="0" applyNumberFormat="1" applyFont="1" applyFill="1" applyBorder="1"/>
    <xf numFmtId="43" fontId="39" fillId="6" borderId="0" xfId="0" applyNumberFormat="1" applyFont="1" applyFill="1"/>
    <xf numFmtId="43" fontId="33" fillId="6" borderId="6" xfId="1" applyFont="1" applyFill="1" applyBorder="1"/>
    <xf numFmtId="43" fontId="39" fillId="6" borderId="0" xfId="0" applyNumberFormat="1" applyFont="1" applyFill="1" applyAlignment="1">
      <alignment horizontal="center"/>
    </xf>
    <xf numFmtId="43" fontId="6" fillId="6" borderId="0" xfId="0" applyNumberFormat="1" applyFont="1" applyFill="1" applyAlignment="1">
      <alignment horizontal="center"/>
    </xf>
    <xf numFmtId="43" fontId="6" fillId="6" borderId="0" xfId="0" applyNumberFormat="1" applyFont="1" applyFill="1"/>
    <xf numFmtId="43" fontId="6" fillId="6" borderId="0" xfId="0" applyNumberFormat="1" applyFont="1" applyFill="1" applyAlignment="1">
      <alignment horizontal="right"/>
    </xf>
    <xf numFmtId="0" fontId="22" fillId="6" borderId="1" xfId="1" applyNumberFormat="1" applyFont="1" applyFill="1" applyBorder="1"/>
    <xf numFmtId="43" fontId="22" fillId="6" borderId="0" xfId="1" applyFont="1" applyFill="1" applyBorder="1"/>
    <xf numFmtId="43" fontId="36" fillId="6" borderId="6" xfId="0" applyNumberFormat="1" applyFont="1" applyFill="1" applyBorder="1"/>
    <xf numFmtId="0" fontId="22" fillId="6" borderId="19" xfId="0" applyFont="1" applyFill="1" applyBorder="1"/>
    <xf numFmtId="43" fontId="29" fillId="6" borderId="0" xfId="0" applyNumberFormat="1" applyFont="1" applyFill="1"/>
    <xf numFmtId="43" fontId="29" fillId="6" borderId="2" xfId="0" applyNumberFormat="1" applyFont="1" applyFill="1" applyBorder="1"/>
    <xf numFmtId="43" fontId="20" fillId="6" borderId="0" xfId="0" applyNumberFormat="1" applyFont="1" applyFill="1"/>
    <xf numFmtId="43" fontId="36" fillId="0" borderId="1" xfId="0" applyNumberFormat="1" applyFont="1" applyBorder="1"/>
    <xf numFmtId="43" fontId="20" fillId="6" borderId="2" xfId="0" applyNumberFormat="1" applyFont="1" applyFill="1" applyBorder="1"/>
    <xf numFmtId="43" fontId="21" fillId="6" borderId="0" xfId="0" applyNumberFormat="1" applyFont="1" applyFill="1"/>
    <xf numFmtId="0" fontId="22" fillId="6" borderId="21" xfId="0" applyFont="1" applyFill="1" applyBorder="1"/>
    <xf numFmtId="43" fontId="29" fillId="6" borderId="16" xfId="0" applyNumberFormat="1" applyFont="1" applyFill="1" applyBorder="1"/>
    <xf numFmtId="43" fontId="29" fillId="6" borderId="23" xfId="0" applyNumberFormat="1" applyFont="1" applyFill="1" applyBorder="1"/>
    <xf numFmtId="43" fontId="29" fillId="6" borderId="19" xfId="0" applyNumberFormat="1" applyFont="1" applyFill="1" applyBorder="1"/>
    <xf numFmtId="0" fontId="1" fillId="4" borderId="0" xfId="0" applyFont="1" applyFill="1"/>
    <xf numFmtId="43" fontId="1" fillId="0" borderId="4" xfId="0" applyNumberFormat="1" applyFont="1" applyBorder="1"/>
    <xf numFmtId="0" fontId="1" fillId="4" borderId="2" xfId="0" applyFont="1" applyFill="1" applyBorder="1"/>
    <xf numFmtId="0" fontId="1" fillId="0" borderId="2" xfId="0" applyFont="1" applyBorder="1"/>
    <xf numFmtId="43" fontId="1" fillId="0" borderId="5" xfId="0" applyNumberFormat="1" applyFont="1" applyBorder="1"/>
    <xf numFmtId="43" fontId="1" fillId="0" borderId="10" xfId="0" applyNumberFormat="1" applyFont="1" applyBorder="1"/>
    <xf numFmtId="0" fontId="1" fillId="3" borderId="0" xfId="0" applyFont="1" applyFill="1"/>
    <xf numFmtId="0" fontId="1" fillId="3" borderId="2" xfId="0" applyFont="1" applyFill="1" applyBorder="1"/>
    <xf numFmtId="14" fontId="33" fillId="3" borderId="0" xfId="0" applyNumberFormat="1" applyFont="1" applyFill="1"/>
    <xf numFmtId="14" fontId="20" fillId="2" borderId="0" xfId="0" applyNumberFormat="1" applyFont="1" applyFill="1"/>
    <xf numFmtId="14" fontId="33" fillId="15" borderId="0" xfId="0" applyNumberFormat="1" applyFont="1" applyFill="1"/>
    <xf numFmtId="14" fontId="33" fillId="2" borderId="0" xfId="0" applyNumberFormat="1" applyFont="1" applyFill="1"/>
    <xf numFmtId="0" fontId="1" fillId="2" borderId="2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8" xfId="4" xr:uid="{00000000-0005-0000-0000-000003000000}"/>
    <cellStyle name="Percent" xfId="3" builtinId="5"/>
  </cellStyles>
  <dxfs count="0"/>
  <tableStyles count="0" defaultTableStyle="TableStyleMedium9" defaultPivotStyle="PivotStyleLight16"/>
  <colors>
    <mruColors>
      <color rgb="FFFF3399"/>
      <color rgb="FFFFFF99"/>
      <color rgb="FFFFCCFF"/>
      <color rgb="FFFFCC66"/>
      <color rgb="FFB4A4E0"/>
      <color rgb="FF00FFFF"/>
      <color rgb="FF66FFFF"/>
      <color rgb="FFCCFFFF"/>
      <color rgb="FFF8EDEC"/>
      <color rgb="FFF7E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737"/>
  <sheetViews>
    <sheetView tabSelected="1" zoomScaleNormal="100" workbookViewId="0">
      <selection activeCell="E1" sqref="E1"/>
    </sheetView>
  </sheetViews>
  <sheetFormatPr defaultColWidth="10.59765625" defaultRowHeight="13.2" x14ac:dyDescent="0.25"/>
  <cols>
    <col min="1" max="1" width="2.8984375" style="26" customWidth="1"/>
    <col min="2" max="2" width="2.19921875" style="26" customWidth="1"/>
    <col min="3" max="3" width="3.09765625" style="306" customWidth="1"/>
    <col min="4" max="4" width="2.19921875" style="1" customWidth="1"/>
    <col min="5" max="6" width="9" style="1" customWidth="1"/>
    <col min="7" max="7" width="60.59765625" style="2" customWidth="1"/>
    <col min="8" max="9" width="7.59765625" style="2" customWidth="1"/>
    <col min="10" max="10" width="7.8984375" style="1" customWidth="1"/>
    <col min="11" max="11" width="12.3984375" style="175" customWidth="1"/>
    <col min="12" max="20" width="2.09765625" style="1" hidden="1" customWidth="1"/>
    <col min="21" max="22" width="10.8984375" style="2" hidden="1" customWidth="1"/>
    <col min="23" max="24" width="11.3984375" style="2" hidden="1" customWidth="1"/>
    <col min="25" max="43" width="11.3984375" style="2" bestFit="1" customWidth="1"/>
    <col min="44" max="46" width="10.59765625" style="2"/>
    <col min="47" max="16384" width="10.59765625" style="1"/>
  </cols>
  <sheetData>
    <row r="1" spans="1:46" s="131" customFormat="1" ht="13.8" thickBot="1" x14ac:dyDescent="0.3">
      <c r="A1" s="130" t="s">
        <v>292</v>
      </c>
      <c r="B1" s="130"/>
      <c r="C1" s="307"/>
      <c r="E1" s="132">
        <v>45777</v>
      </c>
      <c r="F1" s="132"/>
      <c r="G1" s="130"/>
      <c r="H1" s="130"/>
      <c r="I1" s="130"/>
      <c r="K1" s="133" t="s">
        <v>5</v>
      </c>
      <c r="L1" s="131">
        <v>2012</v>
      </c>
      <c r="M1" s="131">
        <v>2013</v>
      </c>
      <c r="N1" s="131">
        <v>2014</v>
      </c>
      <c r="O1" s="131">
        <v>2015</v>
      </c>
      <c r="P1" s="131">
        <v>2016</v>
      </c>
      <c r="Q1" s="131">
        <v>2017</v>
      </c>
      <c r="R1" s="131">
        <v>2018</v>
      </c>
      <c r="S1" s="131">
        <v>2019</v>
      </c>
      <c r="T1" s="131">
        <v>2020</v>
      </c>
      <c r="U1" s="130">
        <v>2021</v>
      </c>
      <c r="V1" s="130">
        <v>2022</v>
      </c>
      <c r="W1" s="130">
        <v>2023</v>
      </c>
      <c r="X1" s="130">
        <v>2024</v>
      </c>
      <c r="Y1" s="130">
        <v>2025</v>
      </c>
      <c r="Z1" s="489">
        <v>2026</v>
      </c>
      <c r="AA1" s="531">
        <v>2027</v>
      </c>
      <c r="AB1" s="130">
        <v>2028</v>
      </c>
      <c r="AC1" s="130">
        <v>2029</v>
      </c>
      <c r="AD1" s="130">
        <v>2030</v>
      </c>
      <c r="AE1" s="130">
        <v>2031</v>
      </c>
      <c r="AF1" s="130">
        <v>2032</v>
      </c>
      <c r="AG1" s="130">
        <v>2033</v>
      </c>
      <c r="AH1" s="130">
        <v>2034</v>
      </c>
      <c r="AI1" s="130">
        <v>2035</v>
      </c>
      <c r="AJ1" s="130">
        <v>2036</v>
      </c>
      <c r="AK1" s="130">
        <v>2037</v>
      </c>
      <c r="AL1" s="130">
        <v>2038</v>
      </c>
      <c r="AM1" s="130">
        <v>2039</v>
      </c>
      <c r="AN1" s="130">
        <v>2040</v>
      </c>
      <c r="AO1" s="130">
        <v>2041</v>
      </c>
      <c r="AP1" s="130">
        <v>2042</v>
      </c>
      <c r="AQ1" s="130">
        <v>2043</v>
      </c>
      <c r="AR1" s="130">
        <v>2044</v>
      </c>
      <c r="AS1" s="130">
        <v>2045</v>
      </c>
      <c r="AT1" s="130">
        <v>2046</v>
      </c>
    </row>
    <row r="2" spans="1:46" s="2" customFormat="1" x14ac:dyDescent="0.25">
      <c r="A2" s="119"/>
      <c r="B2" s="119"/>
      <c r="C2" s="308"/>
      <c r="D2" s="49"/>
      <c r="E2" s="49"/>
      <c r="F2" s="49"/>
      <c r="G2" s="128" t="s">
        <v>8</v>
      </c>
      <c r="H2" s="128"/>
      <c r="I2" s="128"/>
      <c r="J2" s="48"/>
      <c r="K2" s="96"/>
      <c r="L2" s="97"/>
      <c r="M2" s="97"/>
      <c r="N2" s="97"/>
      <c r="O2" s="97"/>
      <c r="P2" s="98"/>
      <c r="Q2" s="98"/>
      <c r="R2" s="98"/>
      <c r="S2" s="98"/>
      <c r="T2" s="9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spans="1:46" s="2" customFormat="1" x14ac:dyDescent="0.25">
      <c r="A3" s="26"/>
      <c r="B3" s="26" t="s">
        <v>96</v>
      </c>
      <c r="C3" s="306"/>
      <c r="D3" s="33" t="s">
        <v>3</v>
      </c>
      <c r="E3" s="34">
        <v>36965</v>
      </c>
      <c r="F3" s="34" t="s">
        <v>260</v>
      </c>
      <c r="G3" s="35" t="s">
        <v>21</v>
      </c>
      <c r="H3" s="35"/>
      <c r="I3" s="35"/>
      <c r="J3" s="2" t="s">
        <v>1</v>
      </c>
      <c r="K3" s="27">
        <v>59160</v>
      </c>
      <c r="L3" s="2" t="s">
        <v>20</v>
      </c>
      <c r="M3" s="4"/>
      <c r="N3" s="4"/>
      <c r="O3" s="4"/>
      <c r="P3" s="283"/>
      <c r="Q3" s="283"/>
      <c r="R3" s="283"/>
      <c r="S3" s="283"/>
      <c r="T3" s="283"/>
      <c r="Z3" s="490"/>
      <c r="AA3" s="60"/>
    </row>
    <row r="4" spans="1:46" s="2" customFormat="1" x14ac:dyDescent="0.25">
      <c r="A4" s="26"/>
      <c r="B4" s="26"/>
      <c r="C4" s="306"/>
      <c r="D4" s="33"/>
      <c r="E4" s="34" t="s">
        <v>12</v>
      </c>
      <c r="F4" s="34"/>
      <c r="G4" s="35" t="s">
        <v>262</v>
      </c>
      <c r="H4" s="35"/>
      <c r="I4" s="35"/>
      <c r="J4" s="17" t="s">
        <v>2</v>
      </c>
      <c r="K4" s="28">
        <v>4772.03</v>
      </c>
      <c r="L4" s="17" t="s">
        <v>20</v>
      </c>
      <c r="M4" s="11"/>
      <c r="N4" s="11"/>
      <c r="O4" s="11"/>
      <c r="P4" s="142"/>
      <c r="Q4" s="142"/>
      <c r="R4" s="142"/>
      <c r="S4" s="142"/>
      <c r="T4" s="142"/>
      <c r="U4" s="17"/>
      <c r="V4" s="17"/>
      <c r="W4" s="17"/>
      <c r="X4" s="17"/>
      <c r="Y4" s="17"/>
      <c r="Z4" s="491"/>
      <c r="AA4" s="532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s="6" customFormat="1" ht="13.8" thickBot="1" x14ac:dyDescent="0.3">
      <c r="A5" s="120"/>
      <c r="B5" s="120"/>
      <c r="C5" s="307"/>
      <c r="D5" s="85"/>
      <c r="E5" s="86" t="s">
        <v>17</v>
      </c>
      <c r="F5" s="86" t="s">
        <v>410</v>
      </c>
      <c r="G5" s="125" t="s">
        <v>263</v>
      </c>
      <c r="H5" s="125"/>
      <c r="I5" s="125"/>
      <c r="J5" s="41" t="s">
        <v>6</v>
      </c>
      <c r="K5" s="42">
        <f>K4+K3</f>
        <v>63932.03</v>
      </c>
      <c r="L5" s="41" t="s">
        <v>20</v>
      </c>
      <c r="M5" s="43"/>
      <c r="N5" s="43"/>
      <c r="O5" s="43"/>
      <c r="P5" s="43"/>
      <c r="Q5" s="43"/>
      <c r="R5" s="43"/>
      <c r="S5" s="43"/>
      <c r="T5" s="43"/>
      <c r="U5" s="41"/>
      <c r="V5" s="41"/>
      <c r="W5" s="41"/>
      <c r="X5" s="41"/>
      <c r="Y5" s="41"/>
      <c r="Z5" s="492"/>
      <c r="AA5" s="533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</row>
    <row r="6" spans="1:46" s="2" customFormat="1" x14ac:dyDescent="0.25">
      <c r="A6" s="26"/>
      <c r="B6" s="26" t="s">
        <v>96</v>
      </c>
      <c r="C6" s="306"/>
      <c r="D6" s="33" t="s">
        <v>3</v>
      </c>
      <c r="E6" s="34">
        <v>36965</v>
      </c>
      <c r="F6" s="34" t="s">
        <v>258</v>
      </c>
      <c r="G6" s="35" t="s">
        <v>366</v>
      </c>
      <c r="H6" s="35"/>
      <c r="I6" s="35"/>
      <c r="J6" s="2" t="s">
        <v>1</v>
      </c>
      <c r="K6" s="27">
        <v>40000</v>
      </c>
      <c r="L6" s="2" t="s">
        <v>20</v>
      </c>
      <c r="M6" s="4"/>
      <c r="N6" s="4"/>
      <c r="O6" s="4"/>
      <c r="P6" s="283"/>
      <c r="Q6" s="283"/>
      <c r="R6" s="283"/>
      <c r="S6" s="283"/>
      <c r="T6" s="283"/>
      <c r="Z6" s="490"/>
      <c r="AA6" s="60"/>
    </row>
    <row r="7" spans="1:46" s="2" customFormat="1" x14ac:dyDescent="0.25">
      <c r="A7" s="26"/>
      <c r="B7" s="26"/>
      <c r="C7" s="306"/>
      <c r="D7" s="33"/>
      <c r="E7" s="34" t="s">
        <v>12</v>
      </c>
      <c r="F7" s="34"/>
      <c r="G7" s="35" t="s">
        <v>560</v>
      </c>
      <c r="H7" s="35"/>
      <c r="I7" s="35"/>
      <c r="J7" s="17" t="s">
        <v>2</v>
      </c>
      <c r="K7" s="28">
        <v>3591.67</v>
      </c>
      <c r="L7" s="17" t="s">
        <v>20</v>
      </c>
      <c r="M7" s="11"/>
      <c r="N7" s="11"/>
      <c r="O7" s="11"/>
      <c r="P7" s="142"/>
      <c r="Q7" s="142"/>
      <c r="R7" s="142"/>
      <c r="S7" s="142"/>
      <c r="T7" s="142"/>
      <c r="U7" s="17"/>
      <c r="V7" s="17"/>
      <c r="W7" s="17"/>
      <c r="X7" s="17"/>
      <c r="Y7" s="17"/>
      <c r="Z7" s="491"/>
      <c r="AA7" s="532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s="6" customFormat="1" ht="13.8" thickBot="1" x14ac:dyDescent="0.3">
      <c r="A8" s="120"/>
      <c r="B8" s="120"/>
      <c r="C8" s="307"/>
      <c r="D8" s="85"/>
      <c r="E8" s="86" t="s">
        <v>17</v>
      </c>
      <c r="F8" s="86" t="s">
        <v>410</v>
      </c>
      <c r="G8" s="125" t="s">
        <v>573</v>
      </c>
      <c r="H8" s="125"/>
      <c r="I8" s="125"/>
      <c r="J8" s="41" t="s">
        <v>6</v>
      </c>
      <c r="K8" s="42">
        <f>K7+K6</f>
        <v>43591.67</v>
      </c>
      <c r="L8" s="41" t="s">
        <v>20</v>
      </c>
      <c r="M8" s="43"/>
      <c r="N8" s="43"/>
      <c r="O8" s="43"/>
      <c r="P8" s="43"/>
      <c r="Q8" s="43"/>
      <c r="R8" s="43"/>
      <c r="S8" s="43"/>
      <c r="T8" s="43"/>
      <c r="U8" s="41"/>
      <c r="V8" s="41"/>
      <c r="W8" s="41"/>
      <c r="X8" s="41"/>
      <c r="Y8" s="41"/>
      <c r="Z8" s="492"/>
      <c r="AA8" s="533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</row>
    <row r="9" spans="1:46" s="2" customFormat="1" x14ac:dyDescent="0.25">
      <c r="A9" s="26"/>
      <c r="B9" s="26" t="s">
        <v>96</v>
      </c>
      <c r="C9" s="306"/>
      <c r="D9" s="33" t="s">
        <v>3</v>
      </c>
      <c r="E9" s="34">
        <v>36965</v>
      </c>
      <c r="F9" s="34" t="s">
        <v>259</v>
      </c>
      <c r="G9" s="35" t="s">
        <v>18</v>
      </c>
      <c r="H9" s="35"/>
      <c r="I9" s="35"/>
      <c r="J9" s="2" t="s">
        <v>1</v>
      </c>
      <c r="K9" s="27">
        <v>236640</v>
      </c>
      <c r="L9" s="2" t="s">
        <v>19</v>
      </c>
      <c r="M9" s="4"/>
      <c r="N9" s="4"/>
      <c r="O9" s="4"/>
      <c r="P9" s="283"/>
      <c r="Q9" s="283"/>
      <c r="R9" s="283"/>
      <c r="S9" s="283"/>
      <c r="T9" s="283"/>
      <c r="Z9" s="490"/>
      <c r="AA9" s="60"/>
    </row>
    <row r="10" spans="1:46" s="2" customFormat="1" x14ac:dyDescent="0.25">
      <c r="A10" s="26"/>
      <c r="B10" s="26"/>
      <c r="C10" s="306"/>
      <c r="D10" s="33"/>
      <c r="E10" s="34" t="s">
        <v>12</v>
      </c>
      <c r="F10" s="34"/>
      <c r="G10" s="35" t="s">
        <v>262</v>
      </c>
      <c r="H10" s="35"/>
      <c r="I10" s="35"/>
      <c r="J10" s="17" t="s">
        <v>2</v>
      </c>
      <c r="K10" s="28">
        <v>43413.13</v>
      </c>
      <c r="L10" s="17" t="s">
        <v>19</v>
      </c>
      <c r="M10" s="11"/>
      <c r="N10" s="11"/>
      <c r="O10" s="11"/>
      <c r="P10" s="142"/>
      <c r="Q10" s="142"/>
      <c r="R10" s="142"/>
      <c r="S10" s="142"/>
      <c r="T10" s="142"/>
      <c r="U10" s="17"/>
      <c r="V10" s="17"/>
      <c r="W10" s="17"/>
      <c r="X10" s="17"/>
      <c r="Y10" s="17"/>
      <c r="Z10" s="491"/>
      <c r="AA10" s="532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s="6" customFormat="1" ht="13.8" thickBot="1" x14ac:dyDescent="0.3">
      <c r="A11" s="120"/>
      <c r="B11" s="120"/>
      <c r="C11" s="307"/>
      <c r="D11" s="85"/>
      <c r="E11" s="86" t="s">
        <v>17</v>
      </c>
      <c r="F11" s="86" t="s">
        <v>410</v>
      </c>
      <c r="G11" s="125" t="s">
        <v>264</v>
      </c>
      <c r="H11" s="125"/>
      <c r="I11" s="125"/>
      <c r="J11" s="41" t="s">
        <v>6</v>
      </c>
      <c r="K11" s="42">
        <f>K10+K9</f>
        <v>280053.13</v>
      </c>
      <c r="L11" s="41" t="s">
        <v>19</v>
      </c>
      <c r="M11" s="43"/>
      <c r="N11" s="43"/>
      <c r="O11" s="43"/>
      <c r="P11" s="43"/>
      <c r="Q11" s="43"/>
      <c r="R11" s="43"/>
      <c r="S11" s="43"/>
      <c r="T11" s="43"/>
      <c r="U11" s="41"/>
      <c r="V11" s="41"/>
      <c r="W11" s="41"/>
      <c r="X11" s="41"/>
      <c r="Y11" s="41"/>
      <c r="Z11" s="492"/>
      <c r="AA11" s="533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</row>
    <row r="12" spans="1:46" s="2" customFormat="1" x14ac:dyDescent="0.25">
      <c r="A12" s="26" t="s">
        <v>99</v>
      </c>
      <c r="B12" s="26" t="s">
        <v>96</v>
      </c>
      <c r="C12" s="306"/>
      <c r="D12" s="33" t="s">
        <v>3</v>
      </c>
      <c r="E12" s="34">
        <v>36965</v>
      </c>
      <c r="F12" s="34" t="s">
        <v>257</v>
      </c>
      <c r="G12" s="35" t="s">
        <v>10</v>
      </c>
      <c r="H12" s="35"/>
      <c r="I12" s="35"/>
      <c r="J12" s="2" t="s">
        <v>1</v>
      </c>
      <c r="K12" s="27">
        <v>2369000</v>
      </c>
      <c r="L12" s="4">
        <v>125000</v>
      </c>
      <c r="M12" s="4">
        <v>125000</v>
      </c>
      <c r="N12" s="4">
        <v>125000</v>
      </c>
      <c r="O12" s="4">
        <v>125000</v>
      </c>
      <c r="P12" s="283">
        <v>125000</v>
      </c>
      <c r="Q12" s="283">
        <v>125000</v>
      </c>
      <c r="R12" s="283">
        <v>125000</v>
      </c>
      <c r="S12" s="283">
        <v>120000</v>
      </c>
      <c r="T12" s="283">
        <v>120000</v>
      </c>
      <c r="U12" s="2" t="s">
        <v>11</v>
      </c>
      <c r="Z12" s="490"/>
      <c r="AA12" s="60"/>
    </row>
    <row r="13" spans="1:46" s="2" customFormat="1" x14ac:dyDescent="0.25">
      <c r="A13" s="400"/>
      <c r="B13" s="26"/>
      <c r="C13" s="306"/>
      <c r="D13" s="33"/>
      <c r="E13" s="34" t="s">
        <v>12</v>
      </c>
      <c r="F13" s="34"/>
      <c r="G13" s="35" t="s">
        <v>261</v>
      </c>
      <c r="H13" s="35"/>
      <c r="I13" s="35"/>
      <c r="J13" s="17" t="s">
        <v>2</v>
      </c>
      <c r="K13" s="28">
        <v>1047707.08</v>
      </c>
      <c r="L13" s="11">
        <v>49937.5</v>
      </c>
      <c r="M13" s="11">
        <v>44343.75</v>
      </c>
      <c r="N13" s="11">
        <f>20687.5+17875</f>
        <v>38562.5</v>
      </c>
      <c r="O13" s="11">
        <f>17875+15000</f>
        <v>32875</v>
      </c>
      <c r="P13" s="142">
        <f>15000+12062.5</f>
        <v>27062.5</v>
      </c>
      <c r="Q13" s="142">
        <f>12062.5+9062.5</f>
        <v>21125</v>
      </c>
      <c r="R13" s="142">
        <f>9062.5+6000</f>
        <v>15062.5</v>
      </c>
      <c r="S13" s="142">
        <f>6000+3000</f>
        <v>9000</v>
      </c>
      <c r="T13" s="142">
        <v>3000</v>
      </c>
      <c r="U13" s="17" t="s">
        <v>11</v>
      </c>
      <c r="V13" s="17"/>
      <c r="W13" s="17"/>
      <c r="X13" s="17"/>
      <c r="Y13" s="17"/>
      <c r="Z13" s="491"/>
      <c r="AA13" s="532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s="6" customFormat="1" ht="13.8" thickBot="1" x14ac:dyDescent="0.3">
      <c r="A14" s="120"/>
      <c r="B14" s="120"/>
      <c r="C14" s="307"/>
      <c r="D14" s="85"/>
      <c r="E14" s="86" t="s">
        <v>15</v>
      </c>
      <c r="F14" s="86" t="s">
        <v>410</v>
      </c>
      <c r="G14" s="125"/>
      <c r="H14" s="125"/>
      <c r="I14" s="125"/>
      <c r="J14" s="41" t="s">
        <v>6</v>
      </c>
      <c r="K14" s="42">
        <f>K13+K12</f>
        <v>3416707.08</v>
      </c>
      <c r="L14" s="43">
        <f>L13+L12</f>
        <v>174937.5</v>
      </c>
      <c r="M14" s="43">
        <f t="shared" ref="M14:T14" si="0">M13+M12</f>
        <v>169343.75</v>
      </c>
      <c r="N14" s="43">
        <f t="shared" si="0"/>
        <v>163562.5</v>
      </c>
      <c r="O14" s="43">
        <f t="shared" si="0"/>
        <v>157875</v>
      </c>
      <c r="P14" s="43">
        <f t="shared" si="0"/>
        <v>152062.5</v>
      </c>
      <c r="Q14" s="43">
        <f t="shared" si="0"/>
        <v>146125</v>
      </c>
      <c r="R14" s="43">
        <f t="shared" si="0"/>
        <v>140062.5</v>
      </c>
      <c r="S14" s="43">
        <f t="shared" si="0"/>
        <v>129000</v>
      </c>
      <c r="T14" s="43">
        <f t="shared" si="0"/>
        <v>123000</v>
      </c>
      <c r="U14" s="41" t="s">
        <v>11</v>
      </c>
      <c r="V14" s="41"/>
      <c r="W14" s="41"/>
      <c r="X14" s="41"/>
      <c r="Y14" s="41"/>
      <c r="Z14" s="492"/>
      <c r="AA14" s="533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</row>
    <row r="15" spans="1:46" s="3" customFormat="1" x14ac:dyDescent="0.25">
      <c r="A15" s="121"/>
      <c r="B15" s="121"/>
      <c r="C15" s="306"/>
      <c r="D15" s="54"/>
      <c r="E15" s="54"/>
      <c r="F15" s="54"/>
      <c r="G15" s="36" t="s">
        <v>32</v>
      </c>
      <c r="H15" s="152">
        <v>1770619</v>
      </c>
      <c r="I15" s="36">
        <v>591100</v>
      </c>
      <c r="J15" s="33" t="s">
        <v>1</v>
      </c>
      <c r="K15" s="37">
        <f>K12+K9+K6+K3</f>
        <v>2704800</v>
      </c>
      <c r="L15" s="7">
        <f t="shared" ref="L15:T16" si="1">L12</f>
        <v>125000</v>
      </c>
      <c r="M15" s="7">
        <f t="shared" si="1"/>
        <v>125000</v>
      </c>
      <c r="N15" s="7">
        <f t="shared" si="1"/>
        <v>125000</v>
      </c>
      <c r="O15" s="7">
        <f t="shared" si="1"/>
        <v>125000</v>
      </c>
      <c r="P15" s="7">
        <f t="shared" si="1"/>
        <v>125000</v>
      </c>
      <c r="Q15" s="7">
        <f t="shared" si="1"/>
        <v>125000</v>
      </c>
      <c r="R15" s="7">
        <f t="shared" si="1"/>
        <v>125000</v>
      </c>
      <c r="S15" s="7">
        <f t="shared" si="1"/>
        <v>120000</v>
      </c>
      <c r="T15" s="7">
        <f t="shared" si="1"/>
        <v>120000</v>
      </c>
      <c r="U15" s="3" t="s">
        <v>11</v>
      </c>
      <c r="Z15" s="104"/>
      <c r="AA15" s="58"/>
    </row>
    <row r="16" spans="1:46" s="3" customFormat="1" x14ac:dyDescent="0.25">
      <c r="A16" s="121"/>
      <c r="B16" s="121"/>
      <c r="C16" s="306"/>
      <c r="D16" s="54"/>
      <c r="E16" s="54"/>
      <c r="F16" s="54"/>
      <c r="G16" s="33"/>
      <c r="H16" s="152">
        <v>1770619</v>
      </c>
      <c r="I16" s="33">
        <v>595100</v>
      </c>
      <c r="J16" s="38" t="s">
        <v>2</v>
      </c>
      <c r="K16" s="39">
        <f>K13+K10+K7+K4</f>
        <v>1099483.9099999999</v>
      </c>
      <c r="L16" s="16">
        <f t="shared" si="1"/>
        <v>49937.5</v>
      </c>
      <c r="M16" s="16">
        <f t="shared" si="1"/>
        <v>44343.75</v>
      </c>
      <c r="N16" s="16">
        <f t="shared" si="1"/>
        <v>38562.5</v>
      </c>
      <c r="O16" s="16">
        <f t="shared" si="1"/>
        <v>32875</v>
      </c>
      <c r="P16" s="16">
        <f t="shared" si="1"/>
        <v>27062.5</v>
      </c>
      <c r="Q16" s="16">
        <f t="shared" si="1"/>
        <v>21125</v>
      </c>
      <c r="R16" s="16">
        <f t="shared" si="1"/>
        <v>15062.5</v>
      </c>
      <c r="S16" s="16">
        <f t="shared" si="1"/>
        <v>9000</v>
      </c>
      <c r="T16" s="16">
        <f t="shared" si="1"/>
        <v>3000</v>
      </c>
      <c r="U16" s="20" t="s">
        <v>11</v>
      </c>
      <c r="V16" s="20"/>
      <c r="W16" s="20"/>
      <c r="X16" s="20"/>
      <c r="Y16" s="20"/>
      <c r="Z16" s="493"/>
      <c r="AA16" s="63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s="8" customFormat="1" ht="13.8" thickBot="1" x14ac:dyDescent="0.3">
      <c r="A17" s="122"/>
      <c r="B17" s="122"/>
      <c r="C17" s="307"/>
      <c r="D17" s="85"/>
      <c r="E17" s="85"/>
      <c r="F17" s="85"/>
      <c r="G17" s="85"/>
      <c r="H17" s="85"/>
      <c r="I17" s="85"/>
      <c r="J17" s="44" t="s">
        <v>5</v>
      </c>
      <c r="K17" s="45">
        <f>K16+K15</f>
        <v>3804283.91</v>
      </c>
      <c r="L17" s="46">
        <f>L16+L15</f>
        <v>174937.5</v>
      </c>
      <c r="M17" s="46">
        <f t="shared" ref="M17:T17" si="2">M16+M15</f>
        <v>169343.75</v>
      </c>
      <c r="N17" s="46">
        <f t="shared" si="2"/>
        <v>163562.5</v>
      </c>
      <c r="O17" s="46">
        <f t="shared" si="2"/>
        <v>157875</v>
      </c>
      <c r="P17" s="46">
        <f t="shared" si="2"/>
        <v>152062.5</v>
      </c>
      <c r="Q17" s="46">
        <f t="shared" si="2"/>
        <v>146125</v>
      </c>
      <c r="R17" s="46">
        <f t="shared" si="2"/>
        <v>140062.5</v>
      </c>
      <c r="S17" s="46">
        <f t="shared" si="2"/>
        <v>129000</v>
      </c>
      <c r="T17" s="46">
        <f t="shared" si="2"/>
        <v>123000</v>
      </c>
      <c r="U17" s="47" t="s">
        <v>11</v>
      </c>
      <c r="V17" s="47"/>
      <c r="W17" s="47"/>
      <c r="X17" s="47"/>
      <c r="Y17" s="47"/>
      <c r="Z17" s="494"/>
      <c r="AA17" s="65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</row>
    <row r="18" spans="1:46" s="2" customFormat="1" x14ac:dyDescent="0.25">
      <c r="A18" s="26"/>
      <c r="B18" s="26" t="s">
        <v>97</v>
      </c>
      <c r="C18" s="306"/>
      <c r="D18" s="33" t="s">
        <v>3</v>
      </c>
      <c r="E18" s="34">
        <v>36965</v>
      </c>
      <c r="F18" s="34" t="s">
        <v>268</v>
      </c>
      <c r="G18" s="35" t="s">
        <v>309</v>
      </c>
      <c r="H18" s="35">
        <v>3100</v>
      </c>
      <c r="I18" s="35">
        <v>538003</v>
      </c>
      <c r="J18" s="2" t="s">
        <v>1</v>
      </c>
      <c r="K18" s="27">
        <v>30400</v>
      </c>
      <c r="L18" s="2" t="s">
        <v>23</v>
      </c>
      <c r="M18" s="4"/>
      <c r="N18" s="4"/>
      <c r="O18" s="4"/>
      <c r="P18" s="283"/>
      <c r="Q18" s="283"/>
      <c r="R18" s="283"/>
      <c r="S18" s="283"/>
      <c r="T18" s="283"/>
      <c r="Z18" s="490"/>
      <c r="AA18" s="60"/>
    </row>
    <row r="19" spans="1:46" s="2" customFormat="1" x14ac:dyDescent="0.25">
      <c r="A19" s="26"/>
      <c r="B19" s="26"/>
      <c r="C19" s="306"/>
      <c r="D19" s="33"/>
      <c r="E19" s="34" t="s">
        <v>13</v>
      </c>
      <c r="F19" s="34"/>
      <c r="G19" s="35" t="s">
        <v>308</v>
      </c>
      <c r="H19" s="35"/>
      <c r="I19" s="35"/>
      <c r="J19" s="17" t="s">
        <v>2</v>
      </c>
      <c r="K19" s="28">
        <v>2136.33</v>
      </c>
      <c r="L19" s="17" t="s">
        <v>23</v>
      </c>
      <c r="M19" s="11"/>
      <c r="N19" s="11"/>
      <c r="O19" s="11"/>
      <c r="P19" s="142"/>
      <c r="Q19" s="142"/>
      <c r="R19" s="142"/>
      <c r="S19" s="142"/>
      <c r="T19" s="142"/>
      <c r="U19" s="17"/>
      <c r="V19" s="17"/>
      <c r="W19" s="17"/>
      <c r="X19" s="17"/>
      <c r="Y19" s="17"/>
      <c r="Z19" s="491"/>
      <c r="AA19" s="532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s="6" customFormat="1" ht="13.8" thickBot="1" x14ac:dyDescent="0.3">
      <c r="A20" s="120"/>
      <c r="B20" s="120"/>
      <c r="C20" s="307"/>
      <c r="D20" s="85"/>
      <c r="E20" s="86" t="s">
        <v>22</v>
      </c>
      <c r="F20" s="86" t="s">
        <v>410</v>
      </c>
      <c r="G20" s="145" t="s">
        <v>574</v>
      </c>
      <c r="H20" s="145"/>
      <c r="I20" s="145"/>
      <c r="J20" s="41" t="s">
        <v>6</v>
      </c>
      <c r="K20" s="42">
        <f>K19+K18</f>
        <v>32536.33</v>
      </c>
      <c r="L20" s="41" t="s">
        <v>23</v>
      </c>
      <c r="M20" s="43"/>
      <c r="N20" s="43"/>
      <c r="O20" s="43"/>
      <c r="P20" s="43"/>
      <c r="Q20" s="43"/>
      <c r="R20" s="43"/>
      <c r="S20" s="43"/>
      <c r="T20" s="43"/>
      <c r="U20" s="41"/>
      <c r="V20" s="41"/>
      <c r="W20" s="41"/>
      <c r="X20" s="41"/>
      <c r="Y20" s="41"/>
      <c r="Z20" s="492"/>
      <c r="AA20" s="533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</row>
    <row r="21" spans="1:46" s="2" customFormat="1" x14ac:dyDescent="0.25">
      <c r="A21" s="26" t="s">
        <v>0</v>
      </c>
      <c r="B21" s="26" t="s">
        <v>96</v>
      </c>
      <c r="C21" s="306"/>
      <c r="D21" s="14" t="s">
        <v>0</v>
      </c>
      <c r="E21" s="24">
        <v>36965</v>
      </c>
      <c r="F21" s="24" t="s">
        <v>266</v>
      </c>
      <c r="G21" s="15" t="s">
        <v>265</v>
      </c>
      <c r="H21" s="15"/>
      <c r="I21" s="15"/>
      <c r="J21" s="2" t="s">
        <v>1</v>
      </c>
      <c r="K21" s="27">
        <v>576800</v>
      </c>
      <c r="L21" s="4">
        <v>30000</v>
      </c>
      <c r="M21" s="4">
        <v>30000</v>
      </c>
      <c r="N21" s="4">
        <v>30000</v>
      </c>
      <c r="O21" s="4">
        <v>30000</v>
      </c>
      <c r="P21" s="283">
        <v>30000</v>
      </c>
      <c r="Q21" s="283">
        <v>30000</v>
      </c>
      <c r="R21" s="283">
        <v>30000</v>
      </c>
      <c r="S21" s="283">
        <v>30000</v>
      </c>
      <c r="T21" s="283">
        <v>25000</v>
      </c>
      <c r="U21" s="2" t="s">
        <v>11</v>
      </c>
      <c r="Z21" s="490"/>
      <c r="AA21" s="60"/>
    </row>
    <row r="22" spans="1:46" s="2" customFormat="1" x14ac:dyDescent="0.25">
      <c r="A22" s="26"/>
      <c r="B22" s="26"/>
      <c r="C22" s="306"/>
      <c r="D22" s="14"/>
      <c r="E22" s="24" t="s">
        <v>12</v>
      </c>
      <c r="F22" s="24"/>
      <c r="G22" s="148" t="s">
        <v>272</v>
      </c>
      <c r="H22" s="148"/>
      <c r="I22" s="148"/>
      <c r="J22" s="17" t="s">
        <v>2</v>
      </c>
      <c r="K22" s="28">
        <v>249482.67</v>
      </c>
      <c r="L22" s="11">
        <v>11855</v>
      </c>
      <c r="M22" s="11">
        <v>10512.5</v>
      </c>
      <c r="N22" s="11">
        <f>4900+4225</f>
        <v>9125</v>
      </c>
      <c r="O22" s="11">
        <f>4225+3535</f>
        <v>7760</v>
      </c>
      <c r="P22" s="142">
        <f>3535+2830</f>
        <v>6365</v>
      </c>
      <c r="Q22" s="142">
        <f>2830+2110</f>
        <v>4940</v>
      </c>
      <c r="R22" s="142">
        <f>2110+1375</f>
        <v>3485</v>
      </c>
      <c r="S22" s="142">
        <f>1375+625</f>
        <v>2000</v>
      </c>
      <c r="T22" s="142">
        <v>625</v>
      </c>
      <c r="U22" s="17" t="s">
        <v>11</v>
      </c>
      <c r="V22" s="17"/>
      <c r="W22" s="17"/>
      <c r="X22" s="17"/>
      <c r="Y22" s="17"/>
      <c r="Z22" s="491"/>
      <c r="AA22" s="532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s="6" customFormat="1" ht="13.8" thickBot="1" x14ac:dyDescent="0.3">
      <c r="A23" s="120"/>
      <c r="B23" s="120"/>
      <c r="C23" s="307"/>
      <c r="D23" s="87"/>
      <c r="E23" s="88" t="s">
        <v>14</v>
      </c>
      <c r="F23" s="88" t="s">
        <v>410</v>
      </c>
      <c r="G23" s="126" t="s">
        <v>381</v>
      </c>
      <c r="H23" s="151"/>
      <c r="I23" s="151"/>
      <c r="J23" s="41" t="s">
        <v>6</v>
      </c>
      <c r="K23" s="42">
        <f t="shared" ref="K23:T23" si="3">K22+K21</f>
        <v>826282.67</v>
      </c>
      <c r="L23" s="43">
        <f t="shared" si="3"/>
        <v>41855</v>
      </c>
      <c r="M23" s="43">
        <f t="shared" si="3"/>
        <v>40512.5</v>
      </c>
      <c r="N23" s="43">
        <f t="shared" si="3"/>
        <v>39125</v>
      </c>
      <c r="O23" s="43">
        <f t="shared" si="3"/>
        <v>37760</v>
      </c>
      <c r="P23" s="43">
        <f t="shared" si="3"/>
        <v>36365</v>
      </c>
      <c r="Q23" s="43">
        <f t="shared" si="3"/>
        <v>34940</v>
      </c>
      <c r="R23" s="43">
        <f t="shared" si="3"/>
        <v>33485</v>
      </c>
      <c r="S23" s="43">
        <f t="shared" si="3"/>
        <v>32000</v>
      </c>
      <c r="T23" s="43">
        <f t="shared" si="3"/>
        <v>25625</v>
      </c>
      <c r="U23" s="41" t="s">
        <v>11</v>
      </c>
      <c r="V23" s="41"/>
      <c r="W23" s="41"/>
      <c r="X23" s="41"/>
      <c r="Y23" s="41"/>
      <c r="Z23" s="492"/>
      <c r="AA23" s="533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</row>
    <row r="24" spans="1:46" s="2" customFormat="1" x14ac:dyDescent="0.25">
      <c r="A24" s="26"/>
      <c r="B24" s="26"/>
      <c r="C24" s="306"/>
      <c r="D24" s="24"/>
      <c r="E24" s="24"/>
      <c r="F24" s="24"/>
      <c r="G24" s="13" t="s">
        <v>33</v>
      </c>
      <c r="H24" s="13">
        <v>60770619</v>
      </c>
      <c r="I24" s="13">
        <v>591100</v>
      </c>
      <c r="J24" s="14" t="s">
        <v>1</v>
      </c>
      <c r="K24" s="29">
        <f>K21+K18</f>
        <v>607200</v>
      </c>
      <c r="L24" s="7">
        <f t="shared" ref="L24:T24" si="4">L21</f>
        <v>30000</v>
      </c>
      <c r="M24" s="7">
        <f t="shared" si="4"/>
        <v>30000</v>
      </c>
      <c r="N24" s="7">
        <f t="shared" si="4"/>
        <v>30000</v>
      </c>
      <c r="O24" s="7">
        <f t="shared" si="4"/>
        <v>30000</v>
      </c>
      <c r="P24" s="7">
        <f t="shared" si="4"/>
        <v>30000</v>
      </c>
      <c r="Q24" s="7">
        <f t="shared" si="4"/>
        <v>30000</v>
      </c>
      <c r="R24" s="7">
        <f t="shared" si="4"/>
        <v>30000</v>
      </c>
      <c r="S24" s="7">
        <f t="shared" si="4"/>
        <v>30000</v>
      </c>
      <c r="T24" s="7">
        <f t="shared" si="4"/>
        <v>25000</v>
      </c>
      <c r="U24" s="40" t="s">
        <v>11</v>
      </c>
      <c r="Z24" s="490"/>
      <c r="AA24" s="60"/>
    </row>
    <row r="25" spans="1:46" s="2" customFormat="1" x14ac:dyDescent="0.25">
      <c r="A25" s="26"/>
      <c r="B25" s="26"/>
      <c r="C25" s="306"/>
      <c r="D25" s="24"/>
      <c r="E25" s="24"/>
      <c r="F25" s="24"/>
      <c r="G25" s="15"/>
      <c r="H25" s="153">
        <v>60770619</v>
      </c>
      <c r="I25" s="153">
        <v>595100</v>
      </c>
      <c r="J25" s="18" t="s">
        <v>2</v>
      </c>
      <c r="K25" s="30">
        <f>K22+K19</f>
        <v>251619</v>
      </c>
      <c r="L25" s="16">
        <f t="shared" ref="L25:T25" si="5">L22</f>
        <v>11855</v>
      </c>
      <c r="M25" s="16">
        <f t="shared" si="5"/>
        <v>10512.5</v>
      </c>
      <c r="N25" s="16">
        <f t="shared" si="5"/>
        <v>9125</v>
      </c>
      <c r="O25" s="16">
        <f t="shared" si="5"/>
        <v>7760</v>
      </c>
      <c r="P25" s="16">
        <f t="shared" si="5"/>
        <v>6365</v>
      </c>
      <c r="Q25" s="16">
        <f t="shared" si="5"/>
        <v>4940</v>
      </c>
      <c r="R25" s="16">
        <f t="shared" si="5"/>
        <v>3485</v>
      </c>
      <c r="S25" s="16">
        <f t="shared" si="5"/>
        <v>2000</v>
      </c>
      <c r="T25" s="16">
        <f t="shared" si="5"/>
        <v>625</v>
      </c>
      <c r="U25" s="56" t="s">
        <v>11</v>
      </c>
      <c r="V25" s="17"/>
      <c r="W25" s="17"/>
      <c r="X25" s="17"/>
      <c r="Y25" s="17"/>
      <c r="Z25" s="491"/>
      <c r="AA25" s="532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s="8" customFormat="1" ht="13.8" thickBot="1" x14ac:dyDescent="0.3">
      <c r="A26" s="122"/>
      <c r="B26" s="122"/>
      <c r="C26" s="307"/>
      <c r="D26" s="87"/>
      <c r="E26" s="87"/>
      <c r="F26" s="87"/>
      <c r="G26" s="87"/>
      <c r="H26" s="87"/>
      <c r="I26" s="87"/>
      <c r="J26" s="50" t="s">
        <v>5</v>
      </c>
      <c r="K26" s="51">
        <f>K25+K24</f>
        <v>858819</v>
      </c>
      <c r="L26" s="46">
        <f>L25+L24</f>
        <v>41855</v>
      </c>
      <c r="M26" s="46">
        <f t="shared" ref="M26:T26" si="6">M25+M24</f>
        <v>40512.5</v>
      </c>
      <c r="N26" s="46">
        <f t="shared" si="6"/>
        <v>39125</v>
      </c>
      <c r="O26" s="46">
        <f t="shared" si="6"/>
        <v>37760</v>
      </c>
      <c r="P26" s="46">
        <f t="shared" si="6"/>
        <v>36365</v>
      </c>
      <c r="Q26" s="46">
        <f t="shared" si="6"/>
        <v>34940</v>
      </c>
      <c r="R26" s="46">
        <f t="shared" si="6"/>
        <v>33485</v>
      </c>
      <c r="S26" s="46">
        <f t="shared" si="6"/>
        <v>32000</v>
      </c>
      <c r="T26" s="46">
        <f t="shared" si="6"/>
        <v>25625</v>
      </c>
      <c r="U26" s="405" t="s">
        <v>11</v>
      </c>
      <c r="V26" s="47"/>
      <c r="W26" s="47"/>
      <c r="X26" s="47"/>
      <c r="Y26" s="47"/>
      <c r="Z26" s="494"/>
      <c r="AA26" s="65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</row>
    <row r="27" spans="1:46" s="6" customFormat="1" x14ac:dyDescent="0.25">
      <c r="A27" s="26" t="s">
        <v>4</v>
      </c>
      <c r="B27" s="26" t="s">
        <v>97</v>
      </c>
      <c r="C27" s="306"/>
      <c r="D27" s="10" t="s">
        <v>4</v>
      </c>
      <c r="E27" s="25">
        <v>36965</v>
      </c>
      <c r="F27" s="25" t="s">
        <v>267</v>
      </c>
      <c r="G27" s="12" t="s">
        <v>9</v>
      </c>
      <c r="H27" s="12"/>
      <c r="I27" s="12"/>
      <c r="J27" s="2" t="s">
        <v>1</v>
      </c>
      <c r="K27" s="27">
        <v>443000</v>
      </c>
      <c r="L27" s="4">
        <v>25000</v>
      </c>
      <c r="M27" s="4">
        <v>25000</v>
      </c>
      <c r="N27" s="4">
        <v>20000</v>
      </c>
      <c r="O27" s="4">
        <v>20000</v>
      </c>
      <c r="P27" s="283">
        <v>20000</v>
      </c>
      <c r="Q27" s="283">
        <v>20000</v>
      </c>
      <c r="R27" s="283">
        <v>20000</v>
      </c>
      <c r="S27" s="283">
        <v>20000</v>
      </c>
      <c r="T27" s="283">
        <v>20000</v>
      </c>
      <c r="U27" s="2" t="s">
        <v>11</v>
      </c>
      <c r="V27" s="2"/>
      <c r="W27" s="2"/>
      <c r="X27" s="2"/>
      <c r="Y27" s="2"/>
      <c r="Z27" s="490"/>
      <c r="AA27" s="60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s="6" customFormat="1" x14ac:dyDescent="0.25">
      <c r="A28" s="400"/>
      <c r="B28" s="26"/>
      <c r="C28" s="306"/>
      <c r="D28" s="84"/>
      <c r="E28" s="25" t="s">
        <v>13</v>
      </c>
      <c r="F28" s="25"/>
      <c r="G28" s="12" t="s">
        <v>273</v>
      </c>
      <c r="H28" s="12"/>
      <c r="I28" s="12"/>
      <c r="J28" s="17" t="s">
        <v>2</v>
      </c>
      <c r="K28" s="28">
        <v>185053.75</v>
      </c>
      <c r="L28" s="11">
        <v>8412.5</v>
      </c>
      <c r="M28" s="11">
        <v>7293.75</v>
      </c>
      <c r="N28" s="11">
        <f>3350+2900</f>
        <v>6250</v>
      </c>
      <c r="O28" s="11">
        <f>2900+2440</f>
        <v>5340</v>
      </c>
      <c r="P28" s="142">
        <f>2440+1970</f>
        <v>4410</v>
      </c>
      <c r="Q28" s="142">
        <f>1970+1490</f>
        <v>3460</v>
      </c>
      <c r="R28" s="142">
        <f>1490+1000</f>
        <v>2490</v>
      </c>
      <c r="S28" s="142">
        <f>1000+500</f>
        <v>1500</v>
      </c>
      <c r="T28" s="142">
        <v>500</v>
      </c>
      <c r="U28" s="17" t="s">
        <v>11</v>
      </c>
      <c r="V28" s="17"/>
      <c r="W28" s="17"/>
      <c r="X28" s="17"/>
      <c r="Y28" s="17"/>
      <c r="Z28" s="491"/>
      <c r="AA28" s="532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s="6" customFormat="1" ht="13.8" thickBot="1" x14ac:dyDescent="0.3">
      <c r="A29" s="120"/>
      <c r="B29" s="120"/>
      <c r="C29" s="307"/>
      <c r="D29" s="89"/>
      <c r="E29" s="90" t="s">
        <v>16</v>
      </c>
      <c r="F29" s="90" t="s">
        <v>410</v>
      </c>
      <c r="G29" s="124" t="s">
        <v>300</v>
      </c>
      <c r="H29" s="124"/>
      <c r="I29" s="124"/>
      <c r="J29" s="41" t="s">
        <v>6</v>
      </c>
      <c r="K29" s="42">
        <f>K28+K27</f>
        <v>628053.75</v>
      </c>
      <c r="L29" s="43">
        <f>L28+L27</f>
        <v>33412.5</v>
      </c>
      <c r="M29" s="43">
        <f t="shared" ref="M29:T29" si="7">M28+M27</f>
        <v>32293.75</v>
      </c>
      <c r="N29" s="43">
        <f t="shared" si="7"/>
        <v>26250</v>
      </c>
      <c r="O29" s="43">
        <f t="shared" si="7"/>
        <v>25340</v>
      </c>
      <c r="P29" s="43">
        <f t="shared" si="7"/>
        <v>24410</v>
      </c>
      <c r="Q29" s="43">
        <f t="shared" si="7"/>
        <v>23460</v>
      </c>
      <c r="R29" s="43">
        <f t="shared" si="7"/>
        <v>22490</v>
      </c>
      <c r="S29" s="43">
        <f t="shared" si="7"/>
        <v>21500</v>
      </c>
      <c r="T29" s="43">
        <f t="shared" si="7"/>
        <v>20500</v>
      </c>
      <c r="U29" s="41" t="s">
        <v>11</v>
      </c>
      <c r="V29" s="41"/>
      <c r="W29" s="41"/>
      <c r="X29" s="41"/>
      <c r="Y29" s="41"/>
      <c r="Z29" s="492"/>
      <c r="AA29" s="533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</row>
    <row r="30" spans="1:46" s="8" customFormat="1" x14ac:dyDescent="0.25">
      <c r="A30" s="121"/>
      <c r="B30" s="121"/>
      <c r="C30" s="306"/>
      <c r="D30" s="55"/>
      <c r="E30" s="55"/>
      <c r="F30" s="55"/>
      <c r="G30" s="9" t="s">
        <v>7</v>
      </c>
      <c r="H30" s="9">
        <v>61770619</v>
      </c>
      <c r="I30" s="9">
        <v>591100</v>
      </c>
      <c r="J30" s="10" t="s">
        <v>1</v>
      </c>
      <c r="K30" s="31">
        <f>K27</f>
        <v>443000</v>
      </c>
      <c r="L30" s="7">
        <f t="shared" ref="L30:T31" si="8">L27</f>
        <v>25000</v>
      </c>
      <c r="M30" s="7">
        <f t="shared" si="8"/>
        <v>25000</v>
      </c>
      <c r="N30" s="7">
        <f t="shared" si="8"/>
        <v>20000</v>
      </c>
      <c r="O30" s="7">
        <f t="shared" si="8"/>
        <v>20000</v>
      </c>
      <c r="P30" s="7">
        <f t="shared" si="8"/>
        <v>20000</v>
      </c>
      <c r="Q30" s="7">
        <f t="shared" si="8"/>
        <v>20000</v>
      </c>
      <c r="R30" s="7">
        <f t="shared" si="8"/>
        <v>20000</v>
      </c>
      <c r="S30" s="7">
        <f t="shared" si="8"/>
        <v>20000</v>
      </c>
      <c r="T30" s="7">
        <f t="shared" si="8"/>
        <v>20000</v>
      </c>
      <c r="U30" s="3" t="s">
        <v>11</v>
      </c>
      <c r="V30" s="3"/>
      <c r="W30" s="3"/>
      <c r="X30" s="3"/>
      <c r="Y30" s="3"/>
      <c r="Z30" s="104"/>
      <c r="AA30" s="58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s="8" customFormat="1" x14ac:dyDescent="0.25">
      <c r="A31" s="121"/>
      <c r="B31" s="121"/>
      <c r="C31" s="306"/>
      <c r="D31" s="10"/>
      <c r="E31" s="10"/>
      <c r="F31" s="10"/>
      <c r="G31" s="10"/>
      <c r="H31" s="9">
        <v>61770619</v>
      </c>
      <c r="I31" s="10">
        <v>595100</v>
      </c>
      <c r="J31" s="19" t="s">
        <v>2</v>
      </c>
      <c r="K31" s="32">
        <f>K28</f>
        <v>185053.75</v>
      </c>
      <c r="L31" s="16">
        <f t="shared" si="8"/>
        <v>8412.5</v>
      </c>
      <c r="M31" s="16">
        <f t="shared" si="8"/>
        <v>7293.75</v>
      </c>
      <c r="N31" s="16">
        <f t="shared" si="8"/>
        <v>6250</v>
      </c>
      <c r="O31" s="16">
        <f t="shared" si="8"/>
        <v>5340</v>
      </c>
      <c r="P31" s="16">
        <f t="shared" si="8"/>
        <v>4410</v>
      </c>
      <c r="Q31" s="16">
        <f t="shared" si="8"/>
        <v>3460</v>
      </c>
      <c r="R31" s="16">
        <f t="shared" si="8"/>
        <v>2490</v>
      </c>
      <c r="S31" s="16">
        <f t="shared" si="8"/>
        <v>1500</v>
      </c>
      <c r="T31" s="16">
        <f t="shared" si="8"/>
        <v>500</v>
      </c>
      <c r="U31" s="20" t="s">
        <v>11</v>
      </c>
      <c r="V31" s="20"/>
      <c r="W31" s="20"/>
      <c r="X31" s="20"/>
      <c r="Y31" s="20"/>
      <c r="Z31" s="493"/>
      <c r="AA31" s="63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s="8" customFormat="1" ht="13.8" thickBot="1" x14ac:dyDescent="0.3">
      <c r="A32" s="122"/>
      <c r="B32" s="122"/>
      <c r="C32" s="307"/>
      <c r="D32" s="91"/>
      <c r="E32" s="91"/>
      <c r="F32" s="91"/>
      <c r="G32" s="91"/>
      <c r="H32" s="91"/>
      <c r="I32" s="91"/>
      <c r="J32" s="52" t="s">
        <v>5</v>
      </c>
      <c r="K32" s="53">
        <f>K31+K30</f>
        <v>628053.75</v>
      </c>
      <c r="L32" s="46">
        <f>L31+L30</f>
        <v>33412.5</v>
      </c>
      <c r="M32" s="46">
        <f t="shared" ref="M32:T32" si="9">M31+M30</f>
        <v>32293.75</v>
      </c>
      <c r="N32" s="46">
        <f t="shared" si="9"/>
        <v>26250</v>
      </c>
      <c r="O32" s="46">
        <f t="shared" si="9"/>
        <v>25340</v>
      </c>
      <c r="P32" s="46">
        <f t="shared" si="9"/>
        <v>24410</v>
      </c>
      <c r="Q32" s="46">
        <f t="shared" si="9"/>
        <v>23460</v>
      </c>
      <c r="R32" s="46">
        <f t="shared" si="9"/>
        <v>22490</v>
      </c>
      <c r="S32" s="46">
        <f t="shared" si="9"/>
        <v>21500</v>
      </c>
      <c r="T32" s="46">
        <f t="shared" si="9"/>
        <v>20500</v>
      </c>
      <c r="U32" s="47" t="s">
        <v>11</v>
      </c>
      <c r="V32" s="47"/>
      <c r="W32" s="47"/>
      <c r="X32" s="47"/>
      <c r="Y32" s="47"/>
      <c r="Z32" s="494"/>
      <c r="AA32" s="65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</row>
    <row r="33" spans="1:46" s="3" customFormat="1" x14ac:dyDescent="0.25">
      <c r="A33" s="121"/>
      <c r="B33" s="121"/>
      <c r="C33" s="306"/>
      <c r="D33" s="102"/>
      <c r="E33" s="102"/>
      <c r="F33" s="102"/>
      <c r="G33" s="103" t="s">
        <v>523</v>
      </c>
      <c r="H33" s="103"/>
      <c r="I33" s="103"/>
      <c r="J33" s="104" t="s">
        <v>1</v>
      </c>
      <c r="K33" s="105">
        <f>K30+K15+K24</f>
        <v>3755000</v>
      </c>
      <c r="L33" s="7">
        <f t="shared" ref="L33:T33" si="10">L24+L15+L30</f>
        <v>180000</v>
      </c>
      <c r="M33" s="7">
        <f t="shared" si="10"/>
        <v>180000</v>
      </c>
      <c r="N33" s="7">
        <f t="shared" si="10"/>
        <v>175000</v>
      </c>
      <c r="O33" s="7">
        <f t="shared" si="10"/>
        <v>175000</v>
      </c>
      <c r="P33" s="7">
        <f t="shared" si="10"/>
        <v>175000</v>
      </c>
      <c r="Q33" s="7">
        <f t="shared" si="10"/>
        <v>175000</v>
      </c>
      <c r="R33" s="7">
        <f t="shared" si="10"/>
        <v>175000</v>
      </c>
      <c r="S33" s="7">
        <f t="shared" si="10"/>
        <v>170000</v>
      </c>
      <c r="T33" s="7">
        <f t="shared" si="10"/>
        <v>165000</v>
      </c>
      <c r="U33" s="3" t="s">
        <v>11</v>
      </c>
      <c r="Z33" s="104"/>
      <c r="AA33" s="58"/>
    </row>
    <row r="34" spans="1:46" s="3" customFormat="1" ht="13.8" thickBot="1" x14ac:dyDescent="0.3">
      <c r="A34" s="121"/>
      <c r="B34" s="121"/>
      <c r="C34" s="306"/>
      <c r="D34" s="104"/>
      <c r="E34" s="104"/>
      <c r="F34" s="104"/>
      <c r="G34" s="103"/>
      <c r="H34" s="103"/>
      <c r="I34" s="103"/>
      <c r="J34" s="106" t="s">
        <v>2</v>
      </c>
      <c r="K34" s="107">
        <f>K31+K16+K25</f>
        <v>1536156.66</v>
      </c>
      <c r="L34" s="22">
        <f t="shared" ref="L34:T34" si="11">L25+L16+L31</f>
        <v>70205</v>
      </c>
      <c r="M34" s="22">
        <f t="shared" si="11"/>
        <v>62150</v>
      </c>
      <c r="N34" s="22">
        <f t="shared" si="11"/>
        <v>53937.5</v>
      </c>
      <c r="O34" s="22">
        <f t="shared" si="11"/>
        <v>45975</v>
      </c>
      <c r="P34" s="22">
        <f t="shared" si="11"/>
        <v>37837.5</v>
      </c>
      <c r="Q34" s="22">
        <f t="shared" si="11"/>
        <v>29525</v>
      </c>
      <c r="R34" s="22">
        <f t="shared" si="11"/>
        <v>21037.5</v>
      </c>
      <c r="S34" s="22">
        <f t="shared" si="11"/>
        <v>12500</v>
      </c>
      <c r="T34" s="22">
        <f t="shared" si="11"/>
        <v>4125</v>
      </c>
      <c r="U34" s="23" t="s">
        <v>11</v>
      </c>
      <c r="V34" s="23"/>
      <c r="W34" s="23"/>
      <c r="X34" s="23"/>
      <c r="Y34" s="23"/>
      <c r="Z34" s="106"/>
      <c r="AA34" s="92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</row>
    <row r="35" spans="1:46" s="6" customFormat="1" ht="13.8" thickBot="1" x14ac:dyDescent="0.3">
      <c r="A35" s="26"/>
      <c r="B35" s="26"/>
      <c r="C35" s="306"/>
      <c r="D35" s="108"/>
      <c r="E35" s="108"/>
      <c r="F35" s="108"/>
      <c r="G35" s="118"/>
      <c r="H35" s="103"/>
      <c r="I35" s="103"/>
      <c r="J35" s="109" t="s">
        <v>5</v>
      </c>
      <c r="K35" s="110">
        <f>K34+K33</f>
        <v>5291156.66</v>
      </c>
      <c r="L35" s="67">
        <f>L34+L33</f>
        <v>250205</v>
      </c>
      <c r="M35" s="67">
        <f t="shared" ref="M35:T35" si="12">SUM(M33:M34)</f>
        <v>242150</v>
      </c>
      <c r="N35" s="67">
        <f t="shared" si="12"/>
        <v>228937.5</v>
      </c>
      <c r="O35" s="67">
        <f t="shared" si="12"/>
        <v>220975</v>
      </c>
      <c r="P35" s="67">
        <f t="shared" si="12"/>
        <v>212837.5</v>
      </c>
      <c r="Q35" s="67">
        <f t="shared" si="12"/>
        <v>204525</v>
      </c>
      <c r="R35" s="67">
        <f t="shared" si="12"/>
        <v>196037.5</v>
      </c>
      <c r="S35" s="67">
        <f t="shared" si="12"/>
        <v>182500</v>
      </c>
      <c r="T35" s="67">
        <f t="shared" si="12"/>
        <v>169125</v>
      </c>
      <c r="U35" s="68" t="s">
        <v>11</v>
      </c>
      <c r="V35" s="69"/>
      <c r="W35" s="69"/>
      <c r="X35" s="69"/>
      <c r="Y35" s="69"/>
      <c r="Z35" s="495"/>
      <c r="AA35" s="534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</row>
    <row r="36" spans="1:46" s="2" customFormat="1" ht="13.8" thickTop="1" x14ac:dyDescent="0.25">
      <c r="A36" s="123"/>
      <c r="B36" s="123"/>
      <c r="C36" s="309"/>
      <c r="D36" s="71"/>
      <c r="E36" s="72"/>
      <c r="F36" s="72"/>
      <c r="G36" s="72" t="s">
        <v>25</v>
      </c>
      <c r="H36" s="72"/>
      <c r="I36" s="72"/>
      <c r="J36" s="70"/>
      <c r="K36" s="99"/>
      <c r="L36" s="100"/>
      <c r="M36" s="100"/>
      <c r="N36" s="100"/>
      <c r="O36" s="100"/>
      <c r="P36" s="101"/>
      <c r="Q36" s="101"/>
      <c r="R36" s="101"/>
      <c r="S36" s="101"/>
      <c r="T36" s="101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</row>
    <row r="37" spans="1:46" s="2" customFormat="1" x14ac:dyDescent="0.25">
      <c r="A37" s="26" t="s">
        <v>95</v>
      </c>
      <c r="B37" s="26" t="s">
        <v>96</v>
      </c>
      <c r="C37" s="306"/>
      <c r="D37" s="33" t="s">
        <v>3</v>
      </c>
      <c r="E37" s="34">
        <v>37667</v>
      </c>
      <c r="F37" s="34" t="s">
        <v>269</v>
      </c>
      <c r="G37" s="35" t="s">
        <v>35</v>
      </c>
      <c r="H37" s="35"/>
      <c r="I37" s="35"/>
      <c r="J37" s="2" t="s">
        <v>1</v>
      </c>
      <c r="K37" s="27">
        <v>572500</v>
      </c>
      <c r="L37" s="4">
        <v>30000</v>
      </c>
      <c r="M37" s="4">
        <v>30000</v>
      </c>
      <c r="N37" s="4">
        <v>30000</v>
      </c>
      <c r="O37" s="4">
        <v>30000</v>
      </c>
      <c r="P37" s="283">
        <v>30000</v>
      </c>
      <c r="Q37" s="283">
        <v>30000</v>
      </c>
      <c r="R37" s="283">
        <v>30000</v>
      </c>
      <c r="S37" s="283">
        <v>25000</v>
      </c>
      <c r="T37" s="283">
        <v>25000</v>
      </c>
      <c r="U37" s="283">
        <v>25000</v>
      </c>
      <c r="V37" s="283">
        <v>25000</v>
      </c>
      <c r="W37" s="283">
        <v>20000</v>
      </c>
      <c r="X37" s="2" t="s">
        <v>11</v>
      </c>
      <c r="Z37" s="490"/>
      <c r="AA37" s="60"/>
    </row>
    <row r="38" spans="1:46" s="2" customFormat="1" x14ac:dyDescent="0.25">
      <c r="A38" s="400"/>
      <c r="B38" s="26"/>
      <c r="C38" s="306"/>
      <c r="D38" s="33"/>
      <c r="E38" s="34" t="s">
        <v>12</v>
      </c>
      <c r="F38" s="34"/>
      <c r="G38" s="35" t="s">
        <v>561</v>
      </c>
      <c r="H38" s="35"/>
      <c r="I38" s="35"/>
      <c r="J38" s="17" t="s">
        <v>2</v>
      </c>
      <c r="K38" s="28">
        <v>232710</v>
      </c>
      <c r="L38" s="11">
        <v>13655</v>
      </c>
      <c r="M38" s="11">
        <v>12575</v>
      </c>
      <c r="N38" s="11">
        <f>5732.5+5732.5</f>
        <v>11465</v>
      </c>
      <c r="O38" s="11">
        <f>5147.5+5147.5</f>
        <v>10295</v>
      </c>
      <c r="P38" s="142">
        <f>4547.5+4547.5</f>
        <v>9095</v>
      </c>
      <c r="Q38" s="142">
        <f>3947.5+3947.5</f>
        <v>7895</v>
      </c>
      <c r="R38" s="142">
        <f>3328.75+3328.75</f>
        <v>6657.5</v>
      </c>
      <c r="S38" s="142">
        <f>2691.25+2691.25</f>
        <v>5382.5</v>
      </c>
      <c r="T38" s="142">
        <f>2160+2160</f>
        <v>4320</v>
      </c>
      <c r="U38" s="142">
        <f>1597.5+1597.5</f>
        <v>3195</v>
      </c>
      <c r="V38" s="142">
        <f>1035+1035</f>
        <v>2070</v>
      </c>
      <c r="W38" s="142">
        <f>460+460</f>
        <v>920</v>
      </c>
      <c r="X38" s="17" t="s">
        <v>11</v>
      </c>
      <c r="Y38" s="17"/>
      <c r="Z38" s="491"/>
      <c r="AA38" s="532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spans="1:46" s="6" customFormat="1" ht="13.8" thickBot="1" x14ac:dyDescent="0.3">
      <c r="A39" s="409"/>
      <c r="B39" s="120"/>
      <c r="C39" s="307"/>
      <c r="D39" s="85"/>
      <c r="E39" s="86" t="s">
        <v>161</v>
      </c>
      <c r="F39" s="86" t="s">
        <v>410</v>
      </c>
      <c r="G39" s="125" t="s">
        <v>575</v>
      </c>
      <c r="H39" s="125"/>
      <c r="I39" s="125"/>
      <c r="J39" s="41" t="s">
        <v>6</v>
      </c>
      <c r="K39" s="42">
        <f>K38+K37</f>
        <v>805210</v>
      </c>
      <c r="L39" s="43">
        <f>L38+L37</f>
        <v>43655</v>
      </c>
      <c r="M39" s="43">
        <f t="shared" ref="M39:W39" si="13">M38+M37</f>
        <v>42575</v>
      </c>
      <c r="N39" s="43">
        <f t="shared" si="13"/>
        <v>41465</v>
      </c>
      <c r="O39" s="43">
        <f t="shared" si="13"/>
        <v>40295</v>
      </c>
      <c r="P39" s="43">
        <f t="shared" si="13"/>
        <v>39095</v>
      </c>
      <c r="Q39" s="43">
        <f t="shared" si="13"/>
        <v>37895</v>
      </c>
      <c r="R39" s="43">
        <f t="shared" si="13"/>
        <v>36657.5</v>
      </c>
      <c r="S39" s="43">
        <f t="shared" si="13"/>
        <v>30382.5</v>
      </c>
      <c r="T39" s="43">
        <f t="shared" si="13"/>
        <v>29320</v>
      </c>
      <c r="U39" s="43">
        <f t="shared" si="13"/>
        <v>28195</v>
      </c>
      <c r="V39" s="43">
        <f t="shared" si="13"/>
        <v>27070</v>
      </c>
      <c r="W39" s="43">
        <f t="shared" si="13"/>
        <v>20920</v>
      </c>
      <c r="X39" s="41" t="s">
        <v>11</v>
      </c>
      <c r="Y39" s="41"/>
      <c r="Z39" s="492"/>
      <c r="AA39" s="533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</row>
    <row r="40" spans="1:46" s="2" customFormat="1" x14ac:dyDescent="0.25">
      <c r="A40" s="26" t="s">
        <v>95</v>
      </c>
      <c r="B40" s="26" t="s">
        <v>96</v>
      </c>
      <c r="C40" s="306"/>
      <c r="D40" s="33" t="s">
        <v>3</v>
      </c>
      <c r="E40" s="34">
        <v>37667</v>
      </c>
      <c r="F40" s="34" t="s">
        <v>269</v>
      </c>
      <c r="G40" s="35" t="s">
        <v>36</v>
      </c>
      <c r="H40" s="35"/>
      <c r="I40" s="35"/>
      <c r="J40" s="2" t="s">
        <v>1</v>
      </c>
      <c r="K40" s="27">
        <v>863900</v>
      </c>
      <c r="L40" s="4">
        <v>45000</v>
      </c>
      <c r="M40" s="4">
        <v>45000</v>
      </c>
      <c r="N40" s="4">
        <v>45000</v>
      </c>
      <c r="O40" s="4">
        <v>45000</v>
      </c>
      <c r="P40" s="4">
        <v>45000</v>
      </c>
      <c r="Q40" s="4">
        <v>45000</v>
      </c>
      <c r="R40" s="4">
        <v>45000</v>
      </c>
      <c r="S40" s="4">
        <v>45000</v>
      </c>
      <c r="T40" s="4">
        <v>45000</v>
      </c>
      <c r="U40" s="4">
        <v>45000</v>
      </c>
      <c r="V40" s="283">
        <v>40000</v>
      </c>
      <c r="W40" s="2" t="s">
        <v>11</v>
      </c>
      <c r="Z40" s="490"/>
      <c r="AA40" s="60"/>
    </row>
    <row r="41" spans="1:46" s="2" customFormat="1" x14ac:dyDescent="0.25">
      <c r="A41" s="400"/>
      <c r="B41" s="26"/>
      <c r="C41" s="306"/>
      <c r="D41" s="33"/>
      <c r="E41" s="34" t="s">
        <v>12</v>
      </c>
      <c r="F41" s="34"/>
      <c r="G41" s="35" t="s">
        <v>562</v>
      </c>
      <c r="H41" s="35"/>
      <c r="I41" s="35"/>
      <c r="J41" s="17" t="s">
        <v>2</v>
      </c>
      <c r="K41" s="28">
        <v>341320</v>
      </c>
      <c r="L41" s="11">
        <v>20211.25</v>
      </c>
      <c r="M41" s="11">
        <v>18591.25</v>
      </c>
      <c r="N41" s="11">
        <f>8463.13+8463.12</f>
        <v>16926.25</v>
      </c>
      <c r="O41" s="11">
        <f>7585.63+7585.62</f>
        <v>15171.25</v>
      </c>
      <c r="P41" s="142">
        <f>6685.63+6685.62</f>
        <v>13371.25</v>
      </c>
      <c r="Q41" s="142">
        <f>5785.63+5785.62</f>
        <v>11571.25</v>
      </c>
      <c r="R41" s="142">
        <f>4857.5+4857.5</f>
        <v>9715</v>
      </c>
      <c r="S41" s="142">
        <f>3901.25+3901.25</f>
        <v>7802.5</v>
      </c>
      <c r="T41" s="142">
        <f>2945+2945</f>
        <v>5890</v>
      </c>
      <c r="U41" s="142">
        <f>1932.5+1932.5</f>
        <v>3865</v>
      </c>
      <c r="V41" s="142">
        <f>920+920</f>
        <v>1840</v>
      </c>
      <c r="W41" s="17" t="s">
        <v>11</v>
      </c>
      <c r="X41" s="17"/>
      <c r="Y41" s="17"/>
      <c r="Z41" s="491"/>
      <c r="AA41" s="532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</row>
    <row r="42" spans="1:46" s="6" customFormat="1" ht="13.8" thickBot="1" x14ac:dyDescent="0.3">
      <c r="A42" s="409"/>
      <c r="B42" s="120"/>
      <c r="C42" s="307"/>
      <c r="D42" s="85"/>
      <c r="E42" s="86" t="s">
        <v>161</v>
      </c>
      <c r="F42" s="86" t="s">
        <v>410</v>
      </c>
      <c r="G42" s="125" t="s">
        <v>576</v>
      </c>
      <c r="H42" s="125"/>
      <c r="I42" s="125"/>
      <c r="J42" s="41" t="s">
        <v>6</v>
      </c>
      <c r="K42" s="42">
        <f>K41+K40</f>
        <v>1205220</v>
      </c>
      <c r="L42" s="43">
        <f>L41+L40</f>
        <v>65211.25</v>
      </c>
      <c r="M42" s="43">
        <f t="shared" ref="M42" si="14">M41+M40</f>
        <v>63591.25</v>
      </c>
      <c r="N42" s="43">
        <f t="shared" ref="N42" si="15">N41+N40</f>
        <v>61926.25</v>
      </c>
      <c r="O42" s="43">
        <f t="shared" ref="O42" si="16">O41+O40</f>
        <v>60171.25</v>
      </c>
      <c r="P42" s="43">
        <f t="shared" ref="P42" si="17">P41+P40</f>
        <v>58371.25</v>
      </c>
      <c r="Q42" s="43">
        <f t="shared" ref="Q42" si="18">Q41+Q40</f>
        <v>56571.25</v>
      </c>
      <c r="R42" s="43">
        <f t="shared" ref="R42" si="19">R41+R40</f>
        <v>54715</v>
      </c>
      <c r="S42" s="43">
        <f t="shared" ref="S42" si="20">S41+S40</f>
        <v>52802.5</v>
      </c>
      <c r="T42" s="43">
        <f t="shared" ref="T42" si="21">T41+T40</f>
        <v>50890</v>
      </c>
      <c r="U42" s="43">
        <f t="shared" ref="U42" si="22">U41+U40</f>
        <v>48865</v>
      </c>
      <c r="V42" s="43">
        <f t="shared" ref="V42" si="23">V41+V40</f>
        <v>41840</v>
      </c>
      <c r="W42" s="41" t="s">
        <v>11</v>
      </c>
      <c r="X42" s="41"/>
      <c r="Y42" s="41"/>
      <c r="Z42" s="492"/>
      <c r="AA42" s="533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</row>
    <row r="43" spans="1:46" s="2" customFormat="1" x14ac:dyDescent="0.25">
      <c r="A43" s="26" t="s">
        <v>0</v>
      </c>
      <c r="B43" s="26" t="s">
        <v>96</v>
      </c>
      <c r="C43" s="306"/>
      <c r="D43" s="33" t="s">
        <v>3</v>
      </c>
      <c r="E43" s="34">
        <v>37667</v>
      </c>
      <c r="F43" s="34" t="s">
        <v>266</v>
      </c>
      <c r="G43" s="35" t="s">
        <v>37</v>
      </c>
      <c r="H43" s="35">
        <v>31440059</v>
      </c>
      <c r="I43" s="35">
        <v>586000</v>
      </c>
      <c r="J43" s="2" t="s">
        <v>1</v>
      </c>
      <c r="K43" s="27">
        <v>137000</v>
      </c>
      <c r="L43" s="4">
        <v>5000</v>
      </c>
      <c r="M43" s="4">
        <v>5000</v>
      </c>
      <c r="N43" s="4">
        <v>5000</v>
      </c>
      <c r="O43" s="4">
        <v>5000</v>
      </c>
      <c r="P43" s="4">
        <v>5000</v>
      </c>
      <c r="Q43" s="4">
        <v>5000</v>
      </c>
      <c r="R43" s="4">
        <v>5000</v>
      </c>
      <c r="S43" s="4">
        <v>5000</v>
      </c>
      <c r="T43" s="4">
        <v>5000</v>
      </c>
      <c r="U43" s="4">
        <v>5000</v>
      </c>
      <c r="V43" s="4">
        <v>5000</v>
      </c>
      <c r="W43" s="4">
        <v>5000</v>
      </c>
      <c r="X43" s="2" t="s">
        <v>11</v>
      </c>
      <c r="Z43" s="490"/>
      <c r="AA43" s="60"/>
    </row>
    <row r="44" spans="1:46" s="2" customFormat="1" x14ac:dyDescent="0.25">
      <c r="A44" s="400"/>
      <c r="B44" s="26"/>
      <c r="C44" s="306"/>
      <c r="D44" s="33"/>
      <c r="E44" s="34" t="s">
        <v>12</v>
      </c>
      <c r="F44" s="34"/>
      <c r="G44" s="35" t="s">
        <v>563</v>
      </c>
      <c r="H44" s="35"/>
      <c r="I44" s="35"/>
      <c r="J44" s="17" t="s">
        <v>2</v>
      </c>
      <c r="K44" s="28">
        <v>47615</v>
      </c>
      <c r="L44" s="11">
        <v>2501.25</v>
      </c>
      <c r="M44" s="11">
        <v>2321.25</v>
      </c>
      <c r="N44" s="11">
        <f>1068.13+1068.12</f>
        <v>2136.25</v>
      </c>
      <c r="O44" s="11">
        <f>970.63+970.62</f>
        <v>1941.25</v>
      </c>
      <c r="P44" s="142">
        <f>870.63+870.62</f>
        <v>1741.25</v>
      </c>
      <c r="Q44" s="142">
        <f>770.63+770.62</f>
        <v>1541.25</v>
      </c>
      <c r="R44" s="142">
        <f>667.5+667.5</f>
        <v>1335</v>
      </c>
      <c r="S44" s="142">
        <f>561.25+561.25</f>
        <v>1122.5</v>
      </c>
      <c r="T44" s="142">
        <f>455+455</f>
        <v>910</v>
      </c>
      <c r="U44" s="142">
        <f>342.5+342.5</f>
        <v>685</v>
      </c>
      <c r="V44" s="142">
        <f>230+230</f>
        <v>460</v>
      </c>
      <c r="W44" s="142">
        <f>115+115</f>
        <v>230</v>
      </c>
      <c r="X44" s="17" t="s">
        <v>11</v>
      </c>
      <c r="Y44" s="17"/>
      <c r="Z44" s="491"/>
      <c r="AA44" s="532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</row>
    <row r="45" spans="1:46" s="6" customFormat="1" ht="13.8" thickBot="1" x14ac:dyDescent="0.3">
      <c r="A45" s="409"/>
      <c r="B45" s="120"/>
      <c r="C45" s="307"/>
      <c r="D45" s="85"/>
      <c r="E45" s="86" t="s">
        <v>14</v>
      </c>
      <c r="F45" s="86" t="s">
        <v>410</v>
      </c>
      <c r="G45" s="125" t="s">
        <v>577</v>
      </c>
      <c r="H45" s="125"/>
      <c r="I45" s="125"/>
      <c r="J45" s="41" t="s">
        <v>6</v>
      </c>
      <c r="K45" s="42">
        <f>K44+K43</f>
        <v>184615</v>
      </c>
      <c r="L45" s="43">
        <f>L44+L43</f>
        <v>7501.25</v>
      </c>
      <c r="M45" s="43">
        <f t="shared" ref="M45" si="24">M44+M43</f>
        <v>7321.25</v>
      </c>
      <c r="N45" s="43">
        <f t="shared" ref="N45" si="25">N44+N43</f>
        <v>7136.25</v>
      </c>
      <c r="O45" s="43">
        <f t="shared" ref="O45" si="26">O44+O43</f>
        <v>6941.25</v>
      </c>
      <c r="P45" s="43">
        <f t="shared" ref="P45" si="27">P44+P43</f>
        <v>6741.25</v>
      </c>
      <c r="Q45" s="43">
        <f t="shared" ref="Q45" si="28">Q44+Q43</f>
        <v>6541.25</v>
      </c>
      <c r="R45" s="43">
        <f t="shared" ref="R45" si="29">R44+R43</f>
        <v>6335</v>
      </c>
      <c r="S45" s="43">
        <f t="shared" ref="S45" si="30">S44+S43</f>
        <v>6122.5</v>
      </c>
      <c r="T45" s="43">
        <f t="shared" ref="T45" si="31">T44+T43</f>
        <v>5910</v>
      </c>
      <c r="U45" s="43">
        <f t="shared" ref="U45" si="32">U44+U43</f>
        <v>5685</v>
      </c>
      <c r="V45" s="43">
        <f t="shared" ref="V45" si="33">V44+V43</f>
        <v>5460</v>
      </c>
      <c r="W45" s="43">
        <f t="shared" ref="W45" si="34">W44+W43</f>
        <v>5230</v>
      </c>
      <c r="X45" s="41" t="s">
        <v>11</v>
      </c>
      <c r="Y45" s="41"/>
      <c r="Z45" s="492"/>
      <c r="AA45" s="533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</row>
    <row r="46" spans="1:46" s="2" customFormat="1" x14ac:dyDescent="0.25">
      <c r="A46" s="26" t="s">
        <v>0</v>
      </c>
      <c r="B46" s="26" t="s">
        <v>97</v>
      </c>
      <c r="C46" s="306"/>
      <c r="D46" s="33" t="s">
        <v>3</v>
      </c>
      <c r="E46" s="34">
        <v>37667</v>
      </c>
      <c r="F46" s="34" t="s">
        <v>271</v>
      </c>
      <c r="G46" s="35" t="s">
        <v>38</v>
      </c>
      <c r="H46" s="35"/>
      <c r="I46" s="35"/>
      <c r="J46" s="2" t="s">
        <v>1</v>
      </c>
      <c r="K46" s="27">
        <v>904000</v>
      </c>
      <c r="L46" s="4">
        <v>45000</v>
      </c>
      <c r="M46" s="4">
        <v>45000</v>
      </c>
      <c r="N46" s="4">
        <v>45000</v>
      </c>
      <c r="O46" s="4">
        <v>45000</v>
      </c>
      <c r="P46" s="4">
        <v>45000</v>
      </c>
      <c r="Q46" s="4">
        <v>45000</v>
      </c>
      <c r="R46" s="4">
        <v>45000</v>
      </c>
      <c r="S46" s="4">
        <v>45000</v>
      </c>
      <c r="T46" s="4">
        <v>45000</v>
      </c>
      <c r="U46" s="4">
        <v>45000</v>
      </c>
      <c r="V46" s="4">
        <v>45000</v>
      </c>
      <c r="W46" s="4">
        <v>45000</v>
      </c>
      <c r="X46" s="2" t="s">
        <v>11</v>
      </c>
      <c r="Z46" s="490"/>
      <c r="AA46" s="60"/>
    </row>
    <row r="47" spans="1:46" s="2" customFormat="1" x14ac:dyDescent="0.25">
      <c r="A47" s="400"/>
      <c r="B47" s="26"/>
      <c r="C47" s="306"/>
      <c r="D47" s="33"/>
      <c r="E47" s="34" t="s">
        <v>13</v>
      </c>
      <c r="F47" s="34"/>
      <c r="G47" s="35" t="s">
        <v>564</v>
      </c>
      <c r="H47" s="35"/>
      <c r="I47" s="35"/>
      <c r="J47" s="17" t="s">
        <v>2</v>
      </c>
      <c r="K47" s="28">
        <v>386345</v>
      </c>
      <c r="L47" s="11">
        <v>22511.25</v>
      </c>
      <c r="M47" s="11">
        <v>20891.25</v>
      </c>
      <c r="N47" s="11">
        <f>9613.13+9613.12</f>
        <v>19226.25</v>
      </c>
      <c r="O47" s="11">
        <f>8735.63+8735.62</f>
        <v>17471.25</v>
      </c>
      <c r="P47" s="142">
        <f>7835.63+7835.62</f>
        <v>15671.25</v>
      </c>
      <c r="Q47" s="142">
        <f>6935.63+6935.62</f>
        <v>13871.25</v>
      </c>
      <c r="R47" s="142">
        <f>6007.5+6007.5</f>
        <v>12015</v>
      </c>
      <c r="S47" s="142">
        <f>5051.25+5051.25</f>
        <v>10102.5</v>
      </c>
      <c r="T47" s="142">
        <f>4095+4095</f>
        <v>8190</v>
      </c>
      <c r="U47" s="142">
        <f>3082.5+3082.5</f>
        <v>6165</v>
      </c>
      <c r="V47" s="142">
        <f>2070+2070</f>
        <v>4140</v>
      </c>
      <c r="W47" s="142">
        <f>1035+1035</f>
        <v>2070</v>
      </c>
      <c r="X47" s="17" t="s">
        <v>11</v>
      </c>
      <c r="Y47" s="17"/>
      <c r="Z47" s="491"/>
      <c r="AA47" s="532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</row>
    <row r="48" spans="1:46" s="6" customFormat="1" ht="13.8" thickBot="1" x14ac:dyDescent="0.3">
      <c r="A48" s="409"/>
      <c r="B48" s="120"/>
      <c r="C48" s="307"/>
      <c r="D48" s="85"/>
      <c r="E48" s="86" t="s">
        <v>14</v>
      </c>
      <c r="F48" s="86" t="s">
        <v>410</v>
      </c>
      <c r="G48" s="125" t="s">
        <v>525</v>
      </c>
      <c r="H48" s="125"/>
      <c r="I48" s="125"/>
      <c r="J48" s="41" t="s">
        <v>6</v>
      </c>
      <c r="K48" s="42">
        <f>K47+K46</f>
        <v>1290345</v>
      </c>
      <c r="L48" s="43">
        <f>L47+L46</f>
        <v>67511.25</v>
      </c>
      <c r="M48" s="43">
        <f t="shared" ref="M48" si="35">M47+M46</f>
        <v>65891.25</v>
      </c>
      <c r="N48" s="43">
        <f t="shared" ref="N48" si="36">N47+N46</f>
        <v>64226.25</v>
      </c>
      <c r="O48" s="43">
        <f t="shared" ref="O48" si="37">O47+O46</f>
        <v>62471.25</v>
      </c>
      <c r="P48" s="43">
        <f t="shared" ref="P48" si="38">P47+P46</f>
        <v>60671.25</v>
      </c>
      <c r="Q48" s="43">
        <f t="shared" ref="Q48" si="39">Q47+Q46</f>
        <v>58871.25</v>
      </c>
      <c r="R48" s="43">
        <f t="shared" ref="R48" si="40">R47+R46</f>
        <v>57015</v>
      </c>
      <c r="S48" s="43">
        <f t="shared" ref="S48" si="41">S47+S46</f>
        <v>55102.5</v>
      </c>
      <c r="T48" s="43">
        <f t="shared" ref="T48" si="42">T47+T46</f>
        <v>53190</v>
      </c>
      <c r="U48" s="43">
        <f t="shared" ref="U48" si="43">U47+U46</f>
        <v>51165</v>
      </c>
      <c r="V48" s="43">
        <f t="shared" ref="V48" si="44">V47+V46</f>
        <v>49140</v>
      </c>
      <c r="W48" s="43">
        <f t="shared" ref="W48" si="45">W47+W46</f>
        <v>47070</v>
      </c>
      <c r="X48" s="41" t="s">
        <v>11</v>
      </c>
      <c r="Y48" s="41"/>
      <c r="Z48" s="492"/>
      <c r="AA48" s="533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</row>
    <row r="49" spans="1:46" s="2" customFormat="1" x14ac:dyDescent="0.25">
      <c r="A49" s="26" t="s">
        <v>0</v>
      </c>
      <c r="B49" s="26" t="s">
        <v>96</v>
      </c>
      <c r="C49" s="306"/>
      <c r="D49" s="33" t="s">
        <v>3</v>
      </c>
      <c r="E49" s="34">
        <v>37667</v>
      </c>
      <c r="F49" s="34" t="s">
        <v>266</v>
      </c>
      <c r="G49" s="35" t="s">
        <v>39</v>
      </c>
      <c r="H49" s="35"/>
      <c r="I49" s="35"/>
      <c r="J49" s="2" t="s">
        <v>1</v>
      </c>
      <c r="K49" s="27">
        <v>1719500</v>
      </c>
      <c r="L49" s="4">
        <v>85000</v>
      </c>
      <c r="M49" s="4">
        <v>85000</v>
      </c>
      <c r="N49" s="4">
        <v>85000</v>
      </c>
      <c r="O49" s="4">
        <v>85000</v>
      </c>
      <c r="P49" s="4">
        <v>85000</v>
      </c>
      <c r="Q49" s="4">
        <v>85000</v>
      </c>
      <c r="R49" s="4">
        <v>85000</v>
      </c>
      <c r="S49" s="4">
        <v>85000</v>
      </c>
      <c r="T49" s="4">
        <v>85000</v>
      </c>
      <c r="U49" s="4">
        <v>85000</v>
      </c>
      <c r="V49" s="4">
        <v>85000</v>
      </c>
      <c r="W49" s="4">
        <v>85000</v>
      </c>
      <c r="X49" s="2" t="s">
        <v>11</v>
      </c>
      <c r="Z49" s="490"/>
      <c r="AA49" s="60"/>
    </row>
    <row r="50" spans="1:46" s="2" customFormat="1" x14ac:dyDescent="0.25">
      <c r="A50" s="400"/>
      <c r="B50" s="26"/>
      <c r="C50" s="306"/>
      <c r="D50" s="33"/>
      <c r="E50" s="34" t="s">
        <v>12</v>
      </c>
      <c r="F50" s="34"/>
      <c r="G50" s="35" t="s">
        <v>565</v>
      </c>
      <c r="H50" s="35"/>
      <c r="I50" s="35"/>
      <c r="J50" s="17" t="s">
        <v>2</v>
      </c>
      <c r="K50" s="28">
        <v>730960</v>
      </c>
      <c r="L50" s="11">
        <v>42521.25</v>
      </c>
      <c r="M50" s="11">
        <v>39461.25</v>
      </c>
      <c r="N50" s="11">
        <f>18158.13+18158.12</f>
        <v>36316.25</v>
      </c>
      <c r="O50" s="11">
        <f>16500.63+16500.62</f>
        <v>33001.25</v>
      </c>
      <c r="P50" s="142">
        <f>14800.63+14800.62</f>
        <v>29601.25</v>
      </c>
      <c r="Q50" s="142">
        <f>13100.63+13100.62</f>
        <v>26201.25</v>
      </c>
      <c r="R50" s="142">
        <f>11347.5+11347.5</f>
        <v>22695</v>
      </c>
      <c r="S50" s="142">
        <f>9541.25+9541.25</f>
        <v>19082.5</v>
      </c>
      <c r="T50" s="142">
        <f>7735+7735</f>
        <v>15470</v>
      </c>
      <c r="U50" s="142">
        <f>5822.5+5822.5</f>
        <v>11645</v>
      </c>
      <c r="V50" s="142">
        <f>3910+3910</f>
        <v>7820</v>
      </c>
      <c r="W50" s="142">
        <f>1955+1955</f>
        <v>3910</v>
      </c>
      <c r="X50" s="17" t="s">
        <v>11</v>
      </c>
      <c r="Y50" s="17"/>
      <c r="Z50" s="491"/>
      <c r="AA50" s="532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</row>
    <row r="51" spans="1:46" s="6" customFormat="1" ht="13.8" thickBot="1" x14ac:dyDescent="0.3">
      <c r="A51" s="409"/>
      <c r="B51" s="120"/>
      <c r="C51" s="307"/>
      <c r="D51" s="85"/>
      <c r="E51" s="86" t="s">
        <v>14</v>
      </c>
      <c r="F51" s="86" t="s">
        <v>410</v>
      </c>
      <c r="G51" s="125" t="s">
        <v>578</v>
      </c>
      <c r="H51" s="125"/>
      <c r="I51" s="125"/>
      <c r="J51" s="41" t="s">
        <v>6</v>
      </c>
      <c r="K51" s="42">
        <f>K50+K49</f>
        <v>2450460</v>
      </c>
      <c r="L51" s="43">
        <f>L50+L49</f>
        <v>127521.25</v>
      </c>
      <c r="M51" s="43">
        <f t="shared" ref="M51" si="46">M50+M49</f>
        <v>124461.25</v>
      </c>
      <c r="N51" s="43">
        <f t="shared" ref="N51" si="47">N50+N49</f>
        <v>121316.25</v>
      </c>
      <c r="O51" s="43">
        <f t="shared" ref="O51" si="48">O50+O49</f>
        <v>118001.25</v>
      </c>
      <c r="P51" s="43">
        <f t="shared" ref="P51" si="49">P50+P49</f>
        <v>114601.25</v>
      </c>
      <c r="Q51" s="43">
        <f t="shared" ref="Q51" si="50">Q50+Q49</f>
        <v>111201.25</v>
      </c>
      <c r="R51" s="43">
        <f t="shared" ref="R51" si="51">R50+R49</f>
        <v>107695</v>
      </c>
      <c r="S51" s="43">
        <f t="shared" ref="S51" si="52">S50+S49</f>
        <v>104082.5</v>
      </c>
      <c r="T51" s="43">
        <f t="shared" ref="T51" si="53">T50+T49</f>
        <v>100470</v>
      </c>
      <c r="U51" s="43">
        <f t="shared" ref="U51" si="54">U50+U49</f>
        <v>96645</v>
      </c>
      <c r="V51" s="43">
        <f t="shared" ref="V51:W51" si="55">V50+V49</f>
        <v>92820</v>
      </c>
      <c r="W51" s="43">
        <f t="shared" si="55"/>
        <v>88910</v>
      </c>
      <c r="X51" s="41" t="s">
        <v>11</v>
      </c>
      <c r="Y51" s="41"/>
      <c r="Z51" s="492"/>
      <c r="AA51" s="533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</row>
    <row r="52" spans="1:46" s="2" customFormat="1" x14ac:dyDescent="0.25">
      <c r="A52" s="26" t="s">
        <v>101</v>
      </c>
      <c r="B52" s="26" t="s">
        <v>96</v>
      </c>
      <c r="C52" s="306"/>
      <c r="D52" s="33" t="s">
        <v>3</v>
      </c>
      <c r="E52" s="34">
        <v>37667</v>
      </c>
      <c r="F52" s="34" t="s">
        <v>269</v>
      </c>
      <c r="G52" s="35" t="s">
        <v>372</v>
      </c>
      <c r="H52" s="35"/>
      <c r="I52" s="35"/>
      <c r="J52" s="2" t="s">
        <v>1</v>
      </c>
      <c r="K52" s="27">
        <v>339500</v>
      </c>
      <c r="L52" s="4">
        <v>20000</v>
      </c>
      <c r="M52" s="4">
        <v>20000</v>
      </c>
      <c r="N52" s="4">
        <v>20000</v>
      </c>
      <c r="O52" s="4">
        <v>20000</v>
      </c>
      <c r="P52" s="4">
        <v>20000</v>
      </c>
      <c r="Q52" s="4">
        <v>20000</v>
      </c>
      <c r="R52" s="4">
        <v>15000</v>
      </c>
      <c r="S52" s="4">
        <v>15000</v>
      </c>
      <c r="T52" s="4">
        <v>15000</v>
      </c>
      <c r="U52" s="4">
        <v>10000</v>
      </c>
      <c r="V52" s="367" t="s">
        <v>11</v>
      </c>
      <c r="Z52" s="490"/>
      <c r="AA52" s="60"/>
    </row>
    <row r="53" spans="1:46" s="2" customFormat="1" x14ac:dyDescent="0.25">
      <c r="A53" s="400"/>
      <c r="B53" s="26"/>
      <c r="C53" s="306"/>
      <c r="D53" s="33"/>
      <c r="E53" s="34" t="s">
        <v>12</v>
      </c>
      <c r="F53" s="34"/>
      <c r="G53" s="35" t="s">
        <v>566</v>
      </c>
      <c r="H53" s="35"/>
      <c r="I53" s="35"/>
      <c r="J53" s="17" t="s">
        <v>2</v>
      </c>
      <c r="K53" s="28">
        <v>117452.5</v>
      </c>
      <c r="L53" s="11">
        <v>7065</v>
      </c>
      <c r="M53" s="11">
        <v>6345</v>
      </c>
      <c r="N53" s="11">
        <f>2802.5+2802.5</f>
        <v>5605</v>
      </c>
      <c r="O53" s="11">
        <f>2412.5+2412.5</f>
        <v>4825</v>
      </c>
      <c r="P53" s="142">
        <f>2012.5+2012.5</f>
        <v>4025</v>
      </c>
      <c r="Q53" s="142">
        <f>1612.5+1612.5</f>
        <v>3225</v>
      </c>
      <c r="R53" s="142">
        <f>1200+1200</f>
        <v>2400</v>
      </c>
      <c r="S53" s="142">
        <f>881.25+881.25</f>
        <v>1762.5</v>
      </c>
      <c r="T53" s="142">
        <f>562.5+562.5</f>
        <v>1125</v>
      </c>
      <c r="U53" s="142">
        <f>225+225</f>
        <v>450</v>
      </c>
      <c r="V53" s="368" t="s">
        <v>11</v>
      </c>
      <c r="W53" s="17"/>
      <c r="X53" s="17"/>
      <c r="Y53" s="17"/>
      <c r="Z53" s="491"/>
      <c r="AA53" s="532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</row>
    <row r="54" spans="1:46" s="6" customFormat="1" ht="13.8" thickBot="1" x14ac:dyDescent="0.3">
      <c r="A54" s="120"/>
      <c r="B54" s="120"/>
      <c r="C54" s="307"/>
      <c r="D54" s="85"/>
      <c r="E54" s="86" t="s">
        <v>40</v>
      </c>
      <c r="F54" s="86" t="s">
        <v>410</v>
      </c>
      <c r="G54" s="125" t="s">
        <v>579</v>
      </c>
      <c r="H54" s="125"/>
      <c r="I54" s="125"/>
      <c r="J54" s="41" t="s">
        <v>6</v>
      </c>
      <c r="K54" s="42">
        <f>K53+K52</f>
        <v>456952.5</v>
      </c>
      <c r="L54" s="43">
        <f>L53+L52</f>
        <v>27065</v>
      </c>
      <c r="M54" s="43">
        <f t="shared" ref="M54" si="56">M53+M52</f>
        <v>26345</v>
      </c>
      <c r="N54" s="43">
        <f t="shared" ref="N54" si="57">N53+N52</f>
        <v>25605</v>
      </c>
      <c r="O54" s="43">
        <f t="shared" ref="O54" si="58">O53+O52</f>
        <v>24825</v>
      </c>
      <c r="P54" s="43">
        <f t="shared" ref="P54" si="59">P53+P52</f>
        <v>24025</v>
      </c>
      <c r="Q54" s="43">
        <f t="shared" ref="Q54" si="60">Q53+Q52</f>
        <v>23225</v>
      </c>
      <c r="R54" s="43">
        <f t="shared" ref="R54" si="61">R53+R52</f>
        <v>17400</v>
      </c>
      <c r="S54" s="43">
        <f t="shared" ref="S54" si="62">S53+S52</f>
        <v>16762.5</v>
      </c>
      <c r="T54" s="43">
        <f t="shared" ref="T54" si="63">T53+T52</f>
        <v>16125</v>
      </c>
      <c r="U54" s="43">
        <f t="shared" ref="U54" si="64">U53+U52</f>
        <v>10450</v>
      </c>
      <c r="V54" s="41" t="s">
        <v>11</v>
      </c>
      <c r="W54" s="41"/>
      <c r="X54" s="41"/>
      <c r="Y54" s="41"/>
      <c r="Z54" s="492"/>
      <c r="AA54" s="533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</row>
    <row r="55" spans="1:46" s="2" customFormat="1" x14ac:dyDescent="0.25">
      <c r="A55" s="26" t="s">
        <v>101</v>
      </c>
      <c r="B55" s="26" t="s">
        <v>96</v>
      </c>
      <c r="C55" s="306"/>
      <c r="D55" s="33" t="s">
        <v>3</v>
      </c>
      <c r="E55" s="34">
        <v>37667</v>
      </c>
      <c r="F55" s="34" t="s">
        <v>269</v>
      </c>
      <c r="G55" s="35" t="s">
        <v>41</v>
      </c>
      <c r="H55" s="35"/>
      <c r="I55" s="35"/>
      <c r="J55" s="2" t="s">
        <v>1</v>
      </c>
      <c r="K55" s="27">
        <v>7032000</v>
      </c>
      <c r="L55" s="4">
        <v>350000</v>
      </c>
      <c r="M55" s="4">
        <v>350000</v>
      </c>
      <c r="N55" s="4">
        <v>350000</v>
      </c>
      <c r="O55" s="4">
        <v>350000</v>
      </c>
      <c r="P55" s="4">
        <v>350000</v>
      </c>
      <c r="Q55" s="4">
        <v>350000</v>
      </c>
      <c r="R55" s="4">
        <v>350000</v>
      </c>
      <c r="S55" s="4">
        <v>350000</v>
      </c>
      <c r="T55" s="4">
        <v>350000</v>
      </c>
      <c r="U55" s="4">
        <v>350000</v>
      </c>
      <c r="V55" s="4">
        <v>350000</v>
      </c>
      <c r="W55" s="4">
        <v>350000</v>
      </c>
      <c r="X55" s="2" t="s">
        <v>11</v>
      </c>
      <c r="Z55" s="490"/>
      <c r="AA55" s="60"/>
    </row>
    <row r="56" spans="1:46" s="2" customFormat="1" x14ac:dyDescent="0.25">
      <c r="A56" s="400"/>
      <c r="B56" s="26"/>
      <c r="C56" s="306"/>
      <c r="D56" s="33"/>
      <c r="E56" s="34" t="s">
        <v>12</v>
      </c>
      <c r="F56" s="34"/>
      <c r="G56" s="35" t="s">
        <v>567</v>
      </c>
      <c r="H56" s="35"/>
      <c r="I56" s="35"/>
      <c r="J56" s="17" t="s">
        <v>2</v>
      </c>
      <c r="K56" s="28">
        <v>3006975</v>
      </c>
      <c r="L56" s="11">
        <v>175087.5</v>
      </c>
      <c r="M56" s="11">
        <v>162487.5</v>
      </c>
      <c r="N56" s="11">
        <f>74768.75+74768.75</f>
        <v>149537.5</v>
      </c>
      <c r="O56" s="11">
        <f>67943.75+67943.75</f>
        <v>135887.5</v>
      </c>
      <c r="P56" s="142">
        <f>60943.75+60943.75</f>
        <v>121887.5</v>
      </c>
      <c r="Q56" s="142">
        <f>53943.75+53943.75</f>
        <v>107887.5</v>
      </c>
      <c r="R56" s="142">
        <f>46725+46725</f>
        <v>93450</v>
      </c>
      <c r="S56" s="142">
        <f>39287.5+39287.5</f>
        <v>78575</v>
      </c>
      <c r="T56" s="142">
        <f>31850+31850</f>
        <v>63700</v>
      </c>
      <c r="U56" s="142">
        <f>23975+23975</f>
        <v>47950</v>
      </c>
      <c r="V56" s="142">
        <f>16100+16100</f>
        <v>32200</v>
      </c>
      <c r="W56" s="142">
        <f>8050+8050</f>
        <v>16100</v>
      </c>
      <c r="X56" s="17" t="s">
        <v>11</v>
      </c>
      <c r="Y56" s="17"/>
      <c r="Z56" s="491"/>
      <c r="AA56" s="532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</row>
    <row r="57" spans="1:46" s="6" customFormat="1" ht="13.8" thickBot="1" x14ac:dyDescent="0.3">
      <c r="A57" s="409"/>
      <c r="B57" s="120"/>
      <c r="C57" s="307"/>
      <c r="D57" s="85"/>
      <c r="E57" s="86" t="s">
        <v>40</v>
      </c>
      <c r="F57" s="86" t="s">
        <v>410</v>
      </c>
      <c r="G57" s="125" t="s">
        <v>580</v>
      </c>
      <c r="H57" s="125"/>
      <c r="I57" s="125"/>
      <c r="J57" s="41" t="s">
        <v>6</v>
      </c>
      <c r="K57" s="42">
        <f>K56+K55</f>
        <v>10038975</v>
      </c>
      <c r="L57" s="43">
        <f>L56+L55</f>
        <v>525087.5</v>
      </c>
      <c r="M57" s="43">
        <f t="shared" ref="M57" si="65">M56+M55</f>
        <v>512487.5</v>
      </c>
      <c r="N57" s="43">
        <f t="shared" ref="N57" si="66">N56+N55</f>
        <v>499537.5</v>
      </c>
      <c r="O57" s="43">
        <f t="shared" ref="O57" si="67">O56+O55</f>
        <v>485887.5</v>
      </c>
      <c r="P57" s="43">
        <f t="shared" ref="P57" si="68">P56+P55</f>
        <v>471887.5</v>
      </c>
      <c r="Q57" s="43">
        <f t="shared" ref="Q57" si="69">Q56+Q55</f>
        <v>457887.5</v>
      </c>
      <c r="R57" s="43">
        <f t="shared" ref="R57" si="70">R56+R55</f>
        <v>443450</v>
      </c>
      <c r="S57" s="43">
        <f t="shared" ref="S57" si="71">S56+S55</f>
        <v>428575</v>
      </c>
      <c r="T57" s="43">
        <f t="shared" ref="T57" si="72">T56+T55</f>
        <v>413700</v>
      </c>
      <c r="U57" s="43">
        <f t="shared" ref="U57" si="73">U56+U55</f>
        <v>397950</v>
      </c>
      <c r="V57" s="43">
        <f t="shared" ref="V57" si="74">V56+V55</f>
        <v>382200</v>
      </c>
      <c r="W57" s="43">
        <f t="shared" ref="W57" si="75">W56+W55</f>
        <v>366100</v>
      </c>
      <c r="X57" s="41" t="s">
        <v>11</v>
      </c>
      <c r="Y57" s="41"/>
      <c r="Z57" s="492"/>
      <c r="AA57" s="533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</row>
    <row r="58" spans="1:46" s="2" customFormat="1" x14ac:dyDescent="0.25">
      <c r="A58" s="26"/>
      <c r="B58" s="26" t="s">
        <v>96</v>
      </c>
      <c r="C58" s="306"/>
      <c r="D58" s="33" t="s">
        <v>3</v>
      </c>
      <c r="E58" s="34">
        <v>37667</v>
      </c>
      <c r="F58" s="34" t="s">
        <v>281</v>
      </c>
      <c r="G58" s="35" t="s">
        <v>422</v>
      </c>
      <c r="H58" s="35">
        <v>31171057</v>
      </c>
      <c r="I58" s="35">
        <v>584003</v>
      </c>
      <c r="J58" s="2" t="s">
        <v>1</v>
      </c>
      <c r="K58" s="27">
        <v>183000</v>
      </c>
      <c r="L58" s="4">
        <v>15000</v>
      </c>
      <c r="M58" s="4">
        <v>15000</v>
      </c>
      <c r="N58" s="2" t="s">
        <v>11</v>
      </c>
      <c r="O58" s="4"/>
      <c r="P58" s="4"/>
      <c r="Q58" s="4"/>
      <c r="R58" s="4"/>
      <c r="S58" s="4"/>
      <c r="T58" s="4"/>
      <c r="U58" s="4"/>
      <c r="V58" s="4"/>
      <c r="Z58" s="490"/>
      <c r="AA58" s="60"/>
    </row>
    <row r="59" spans="1:46" s="2" customFormat="1" x14ac:dyDescent="0.25">
      <c r="A59" s="26"/>
      <c r="B59" s="26"/>
      <c r="C59" s="306"/>
      <c r="D59" s="33"/>
      <c r="E59" s="34" t="s">
        <v>12</v>
      </c>
      <c r="F59" s="34"/>
      <c r="G59" s="35" t="s">
        <v>568</v>
      </c>
      <c r="H59" s="35"/>
      <c r="I59" s="35"/>
      <c r="J59" s="17" t="s">
        <v>2</v>
      </c>
      <c r="K59" s="28">
        <v>31995</v>
      </c>
      <c r="L59" s="11">
        <v>1095</v>
      </c>
      <c r="M59" s="11">
        <v>555</v>
      </c>
      <c r="N59" s="17" t="s">
        <v>11</v>
      </c>
      <c r="O59" s="11"/>
      <c r="P59" s="11"/>
      <c r="Q59" s="11"/>
      <c r="R59" s="11"/>
      <c r="S59" s="11"/>
      <c r="T59" s="11"/>
      <c r="U59" s="11"/>
      <c r="V59" s="11"/>
      <c r="W59" s="17"/>
      <c r="X59" s="17"/>
      <c r="Y59" s="17"/>
      <c r="Z59" s="491"/>
      <c r="AA59" s="532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</row>
    <row r="60" spans="1:46" s="6" customFormat="1" ht="13.8" thickBot="1" x14ac:dyDescent="0.3">
      <c r="A60" s="120"/>
      <c r="B60" s="120"/>
      <c r="C60" s="307"/>
      <c r="D60" s="85"/>
      <c r="E60" s="86" t="s">
        <v>15</v>
      </c>
      <c r="F60" s="86" t="s">
        <v>410</v>
      </c>
      <c r="G60" s="125" t="s">
        <v>581</v>
      </c>
      <c r="H60" s="125"/>
      <c r="I60" s="125"/>
      <c r="J60" s="41" t="s">
        <v>6</v>
      </c>
      <c r="K60" s="42">
        <f>K59+K58</f>
        <v>214995</v>
      </c>
      <c r="L60" s="43">
        <f>L59+L58</f>
        <v>16095</v>
      </c>
      <c r="M60" s="43">
        <f t="shared" ref="M60" si="76">M59+M58</f>
        <v>15555</v>
      </c>
      <c r="N60" s="41" t="s">
        <v>11</v>
      </c>
      <c r="O60" s="43"/>
      <c r="P60" s="43"/>
      <c r="Q60" s="43"/>
      <c r="R60" s="43"/>
      <c r="S60" s="43"/>
      <c r="T60" s="43"/>
      <c r="U60" s="43"/>
      <c r="V60" s="43"/>
      <c r="W60" s="41"/>
      <c r="X60" s="41"/>
      <c r="Y60" s="41"/>
      <c r="Z60" s="492"/>
      <c r="AA60" s="533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</row>
    <row r="61" spans="1:46" s="2" customFormat="1" x14ac:dyDescent="0.25">
      <c r="A61" s="26"/>
      <c r="B61" s="26" t="s">
        <v>96</v>
      </c>
      <c r="C61" s="306"/>
      <c r="D61" s="33" t="s">
        <v>3</v>
      </c>
      <c r="E61" s="34">
        <v>37667</v>
      </c>
      <c r="F61" s="34" t="s">
        <v>280</v>
      </c>
      <c r="G61" s="35" t="s">
        <v>389</v>
      </c>
      <c r="H61" s="35">
        <v>31210043</v>
      </c>
      <c r="I61" s="35">
        <v>585004</v>
      </c>
      <c r="J61" s="2" t="s">
        <v>1</v>
      </c>
      <c r="K61" s="27">
        <v>402000</v>
      </c>
      <c r="L61" s="2" t="s">
        <v>43</v>
      </c>
      <c r="M61" s="4"/>
      <c r="N61" s="4"/>
      <c r="O61" s="4"/>
      <c r="P61" s="283"/>
      <c r="Q61" s="283"/>
      <c r="R61" s="283"/>
      <c r="S61" s="283"/>
      <c r="T61" s="283"/>
      <c r="Z61" s="490"/>
      <c r="AA61" s="60"/>
    </row>
    <row r="62" spans="1:46" s="2" customFormat="1" x14ac:dyDescent="0.25">
      <c r="A62" s="26"/>
      <c r="B62" s="26"/>
      <c r="C62" s="306"/>
      <c r="D62" s="33"/>
      <c r="E62" s="34" t="s">
        <v>12</v>
      </c>
      <c r="F62" s="34"/>
      <c r="G62" s="35" t="s">
        <v>569</v>
      </c>
      <c r="H62" s="35"/>
      <c r="I62" s="35"/>
      <c r="J62" s="17" t="s">
        <v>2</v>
      </c>
      <c r="K62" s="28">
        <v>59800</v>
      </c>
      <c r="L62" s="17" t="s">
        <v>43</v>
      </c>
      <c r="M62" s="11"/>
      <c r="N62" s="11"/>
      <c r="O62" s="11"/>
      <c r="P62" s="142"/>
      <c r="Q62" s="142"/>
      <c r="R62" s="142"/>
      <c r="S62" s="142"/>
      <c r="T62" s="142"/>
      <c r="U62" s="17"/>
      <c r="V62" s="17"/>
      <c r="W62" s="17"/>
      <c r="X62" s="17"/>
      <c r="Y62" s="17"/>
      <c r="Z62" s="491"/>
      <c r="AA62" s="532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</row>
    <row r="63" spans="1:46" s="6" customFormat="1" ht="13.8" thickBot="1" x14ac:dyDescent="0.3">
      <c r="A63" s="120"/>
      <c r="B63" s="120"/>
      <c r="C63" s="307"/>
      <c r="D63" s="85"/>
      <c r="E63" s="86" t="s">
        <v>160</v>
      </c>
      <c r="F63" s="86" t="s">
        <v>410</v>
      </c>
      <c r="G63" s="125" t="s">
        <v>582</v>
      </c>
      <c r="H63" s="125"/>
      <c r="I63" s="125"/>
      <c r="J63" s="41" t="s">
        <v>6</v>
      </c>
      <c r="K63" s="42">
        <f>K62+K61</f>
        <v>461800</v>
      </c>
      <c r="L63" s="41" t="s">
        <v>43</v>
      </c>
      <c r="M63" s="43"/>
      <c r="N63" s="43"/>
      <c r="O63" s="43"/>
      <c r="P63" s="43"/>
      <c r="Q63" s="43"/>
      <c r="R63" s="43"/>
      <c r="S63" s="43"/>
      <c r="T63" s="43"/>
      <c r="U63" s="41"/>
      <c r="V63" s="41"/>
      <c r="W63" s="41"/>
      <c r="X63" s="41"/>
      <c r="Y63" s="41"/>
      <c r="Z63" s="492"/>
      <c r="AA63" s="533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</row>
    <row r="64" spans="1:46" s="2" customFormat="1" x14ac:dyDescent="0.25">
      <c r="A64" s="26"/>
      <c r="B64" s="26" t="s">
        <v>97</v>
      </c>
      <c r="C64" s="306"/>
      <c r="D64" s="33" t="s">
        <v>3</v>
      </c>
      <c r="E64" s="34">
        <v>37667</v>
      </c>
      <c r="F64" s="34" t="s">
        <v>268</v>
      </c>
      <c r="G64" s="35" t="s">
        <v>309</v>
      </c>
      <c r="H64" s="35">
        <v>3100</v>
      </c>
      <c r="I64" s="35">
        <v>538003</v>
      </c>
      <c r="J64" s="2" t="s">
        <v>1</v>
      </c>
      <c r="K64" s="27">
        <v>40000</v>
      </c>
      <c r="L64" s="2" t="s">
        <v>43</v>
      </c>
      <c r="M64" s="4"/>
      <c r="N64" s="4"/>
      <c r="O64" s="4"/>
      <c r="P64" s="283"/>
      <c r="Q64" s="283"/>
      <c r="R64" s="283"/>
      <c r="S64" s="283"/>
      <c r="T64" s="283"/>
      <c r="Z64" s="490"/>
      <c r="AA64" s="60"/>
    </row>
    <row r="65" spans="1:46" s="2" customFormat="1" x14ac:dyDescent="0.25">
      <c r="A65" s="26"/>
      <c r="B65" s="26"/>
      <c r="C65" s="306"/>
      <c r="D65" s="33"/>
      <c r="E65" s="34" t="s">
        <v>13</v>
      </c>
      <c r="F65" s="34"/>
      <c r="G65" s="35" t="s">
        <v>419</v>
      </c>
      <c r="H65" s="35"/>
      <c r="I65" s="35"/>
      <c r="J65" s="17" t="s">
        <v>2</v>
      </c>
      <c r="K65" s="28">
        <v>5970</v>
      </c>
      <c r="L65" s="17" t="s">
        <v>43</v>
      </c>
      <c r="M65" s="11"/>
      <c r="N65" s="11"/>
      <c r="O65" s="11"/>
      <c r="P65" s="142"/>
      <c r="Q65" s="142"/>
      <c r="R65" s="142"/>
      <c r="S65" s="142"/>
      <c r="T65" s="142"/>
      <c r="U65" s="17"/>
      <c r="V65" s="17"/>
      <c r="W65" s="17"/>
      <c r="X65" s="17"/>
      <c r="Y65" s="17"/>
      <c r="Z65" s="491"/>
      <c r="AA65" s="532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</row>
    <row r="66" spans="1:46" s="6" customFormat="1" ht="13.8" thickBot="1" x14ac:dyDescent="0.3">
      <c r="A66" s="120"/>
      <c r="B66" s="120"/>
      <c r="C66" s="307"/>
      <c r="D66" s="85"/>
      <c r="E66" s="86" t="s">
        <v>22</v>
      </c>
      <c r="F66" s="86" t="s">
        <v>410</v>
      </c>
      <c r="G66" s="125" t="s">
        <v>583</v>
      </c>
      <c r="H66" s="125"/>
      <c r="I66" s="125"/>
      <c r="J66" s="41" t="s">
        <v>6</v>
      </c>
      <c r="K66" s="42">
        <f>K65+K64</f>
        <v>45970</v>
      </c>
      <c r="L66" s="41" t="s">
        <v>43</v>
      </c>
      <c r="M66" s="43"/>
      <c r="N66" s="43"/>
      <c r="O66" s="43"/>
      <c r="P66" s="43"/>
      <c r="Q66" s="43"/>
      <c r="R66" s="43"/>
      <c r="S66" s="43"/>
      <c r="T66" s="43"/>
      <c r="U66" s="41"/>
      <c r="V66" s="41"/>
      <c r="W66" s="41"/>
      <c r="X66" s="41"/>
      <c r="Y66" s="41"/>
      <c r="Z66" s="492"/>
      <c r="AA66" s="533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</row>
    <row r="67" spans="1:46" s="2" customFormat="1" x14ac:dyDescent="0.25">
      <c r="A67" s="26"/>
      <c r="B67" s="26" t="s">
        <v>96</v>
      </c>
      <c r="C67" s="306"/>
      <c r="D67" s="33" t="s">
        <v>3</v>
      </c>
      <c r="E67" s="34">
        <v>37667</v>
      </c>
      <c r="F67" s="34" t="s">
        <v>269</v>
      </c>
      <c r="G67" s="35" t="s">
        <v>90</v>
      </c>
      <c r="H67" s="35">
        <v>31422058</v>
      </c>
      <c r="I67" s="35">
        <v>582004</v>
      </c>
      <c r="J67" s="2" t="s">
        <v>1</v>
      </c>
      <c r="K67" s="27">
        <v>47000</v>
      </c>
      <c r="L67" s="4">
        <v>5000</v>
      </c>
      <c r="M67" s="2" t="s">
        <v>11</v>
      </c>
      <c r="N67" s="4"/>
      <c r="O67" s="4"/>
      <c r="P67" s="283"/>
      <c r="Q67" s="283"/>
      <c r="R67" s="283"/>
      <c r="S67" s="283"/>
      <c r="T67" s="283"/>
      <c r="Z67" s="490"/>
      <c r="AA67" s="60"/>
    </row>
    <row r="68" spans="1:46" s="2" customFormat="1" x14ac:dyDescent="0.25">
      <c r="A68" s="26"/>
      <c r="B68" s="26"/>
      <c r="C68" s="306"/>
      <c r="D68" s="33"/>
      <c r="E68" s="34" t="s">
        <v>12</v>
      </c>
      <c r="F68" s="34"/>
      <c r="G68" s="35" t="s">
        <v>270</v>
      </c>
      <c r="H68" s="35"/>
      <c r="I68" s="35"/>
      <c r="J68" s="17" t="s">
        <v>2</v>
      </c>
      <c r="K68" s="28">
        <v>7690</v>
      </c>
      <c r="L68" s="11">
        <v>180</v>
      </c>
      <c r="M68" s="17" t="s">
        <v>11</v>
      </c>
      <c r="N68" s="11"/>
      <c r="O68" s="11"/>
      <c r="P68" s="142"/>
      <c r="Q68" s="142"/>
      <c r="R68" s="142"/>
      <c r="S68" s="142"/>
      <c r="T68" s="142"/>
      <c r="U68" s="17"/>
      <c r="V68" s="17"/>
      <c r="W68" s="17"/>
      <c r="X68" s="17"/>
      <c r="Y68" s="17"/>
      <c r="Z68" s="491"/>
      <c r="AA68" s="532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</row>
    <row r="69" spans="1:46" s="6" customFormat="1" ht="13.8" thickBot="1" x14ac:dyDescent="0.3">
      <c r="A69" s="120"/>
      <c r="B69" s="120"/>
      <c r="C69" s="307"/>
      <c r="D69" s="85"/>
      <c r="E69" s="86" t="s">
        <v>40</v>
      </c>
      <c r="F69" s="86" t="s">
        <v>410</v>
      </c>
      <c r="G69" s="125"/>
      <c r="H69" s="125"/>
      <c r="I69" s="125"/>
      <c r="J69" s="41" t="s">
        <v>6</v>
      </c>
      <c r="K69" s="42">
        <f>K68+K67</f>
        <v>54690</v>
      </c>
      <c r="L69" s="43">
        <f>L68+L67</f>
        <v>5180</v>
      </c>
      <c r="M69" s="41" t="s">
        <v>11</v>
      </c>
      <c r="N69" s="43"/>
      <c r="O69" s="43"/>
      <c r="P69" s="43"/>
      <c r="Q69" s="43"/>
      <c r="R69" s="43"/>
      <c r="S69" s="43"/>
      <c r="T69" s="43"/>
      <c r="U69" s="41"/>
      <c r="V69" s="41"/>
      <c r="W69" s="41"/>
      <c r="X69" s="41"/>
      <c r="Y69" s="41"/>
      <c r="Z69" s="492"/>
      <c r="AA69" s="533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</row>
    <row r="70" spans="1:46" s="3" customFormat="1" x14ac:dyDescent="0.25">
      <c r="A70" s="121"/>
      <c r="B70" s="121"/>
      <c r="C70" s="306"/>
      <c r="D70" s="33"/>
      <c r="E70" s="54"/>
      <c r="F70" s="54"/>
      <c r="G70" s="36" t="s">
        <v>32</v>
      </c>
      <c r="H70" s="152">
        <v>1771019</v>
      </c>
      <c r="I70" s="36">
        <v>591100</v>
      </c>
      <c r="J70" s="33" t="s">
        <v>1</v>
      </c>
      <c r="K70" s="37">
        <f>K67+K64+K61+K55+K58+K52+K49+K46+K43+K40+K37</f>
        <v>12240400</v>
      </c>
      <c r="L70" s="7">
        <f>L67+L55+L58+L52+L49+L46+L43+L40+L37</f>
        <v>600000</v>
      </c>
      <c r="M70" s="7">
        <f>M55+M58+M52+M49+M46+M43+M40+M37</f>
        <v>595000</v>
      </c>
      <c r="N70" s="7">
        <f t="shared" ref="N70:U71" si="77">N55+N52+N49+N46+N43+N40+N37</f>
        <v>580000</v>
      </c>
      <c r="O70" s="7">
        <f t="shared" si="77"/>
        <v>580000</v>
      </c>
      <c r="P70" s="7">
        <f t="shared" si="77"/>
        <v>580000</v>
      </c>
      <c r="Q70" s="7">
        <f t="shared" si="77"/>
        <v>580000</v>
      </c>
      <c r="R70" s="7">
        <f t="shared" si="77"/>
        <v>575000</v>
      </c>
      <c r="S70" s="7">
        <f t="shared" si="77"/>
        <v>570000</v>
      </c>
      <c r="T70" s="7">
        <f t="shared" si="77"/>
        <v>570000</v>
      </c>
      <c r="U70" s="7">
        <f t="shared" si="77"/>
        <v>565000</v>
      </c>
      <c r="V70" s="7">
        <f>V55+V49+V46+V43+V40+V37</f>
        <v>550000</v>
      </c>
      <c r="W70" s="7">
        <f>W55+W49+W46+W43+W37</f>
        <v>505000</v>
      </c>
      <c r="X70" s="3" t="s">
        <v>11</v>
      </c>
      <c r="Z70" s="104"/>
      <c r="AA70" s="58"/>
    </row>
    <row r="71" spans="1:46" s="3" customFormat="1" x14ac:dyDescent="0.25">
      <c r="A71" s="121"/>
      <c r="B71" s="121"/>
      <c r="C71" s="306"/>
      <c r="D71" s="33"/>
      <c r="E71" s="54"/>
      <c r="F71" s="54"/>
      <c r="G71" s="33"/>
      <c r="H71" s="152">
        <v>1771019</v>
      </c>
      <c r="I71" s="33">
        <v>595100</v>
      </c>
      <c r="J71" s="38" t="s">
        <v>2</v>
      </c>
      <c r="K71" s="39">
        <f>K68+K65+K62+K56+K59+K53+K50+K47+K44+K41+K38</f>
        <v>4968832.5</v>
      </c>
      <c r="L71" s="7">
        <f>L68+L56+L59+L53+L50+L47+L44+L41+L38</f>
        <v>284827.5</v>
      </c>
      <c r="M71" s="7">
        <f>M56+M59+M53+M50+M47+M44+M41+M38</f>
        <v>263227.5</v>
      </c>
      <c r="N71" s="7">
        <f t="shared" si="77"/>
        <v>241212.5</v>
      </c>
      <c r="O71" s="7">
        <f t="shared" si="77"/>
        <v>218592.5</v>
      </c>
      <c r="P71" s="7">
        <f t="shared" si="77"/>
        <v>195392.5</v>
      </c>
      <c r="Q71" s="7">
        <f t="shared" si="77"/>
        <v>172192.5</v>
      </c>
      <c r="R71" s="7">
        <f t="shared" si="77"/>
        <v>148267.5</v>
      </c>
      <c r="S71" s="7">
        <f t="shared" si="77"/>
        <v>123830</v>
      </c>
      <c r="T71" s="7">
        <f t="shared" si="77"/>
        <v>99605</v>
      </c>
      <c r="U71" s="7">
        <f t="shared" si="77"/>
        <v>73955</v>
      </c>
      <c r="V71" s="7">
        <f>V56+V50+V47+V44+V41+V38</f>
        <v>48530</v>
      </c>
      <c r="W71" s="7">
        <f>W56+W50+W47+W44+W38</f>
        <v>23230</v>
      </c>
      <c r="X71" s="20" t="s">
        <v>11</v>
      </c>
      <c r="Y71" s="20"/>
      <c r="Z71" s="493"/>
      <c r="AA71" s="63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</row>
    <row r="72" spans="1:46" s="8" customFormat="1" ht="13.8" thickBot="1" x14ac:dyDescent="0.3">
      <c r="A72" s="122"/>
      <c r="B72" s="122"/>
      <c r="C72" s="307"/>
      <c r="D72" s="85"/>
      <c r="E72" s="85"/>
      <c r="F72" s="85"/>
      <c r="G72" s="85"/>
      <c r="H72" s="85"/>
      <c r="I72" s="85"/>
      <c r="J72" s="44" t="s">
        <v>5</v>
      </c>
      <c r="K72" s="45">
        <f>K71+K70</f>
        <v>17209232.5</v>
      </c>
      <c r="L72" s="46">
        <f>L71+L70</f>
        <v>884827.5</v>
      </c>
      <c r="M72" s="46">
        <f t="shared" ref="M72:W72" si="78">M71+M70</f>
        <v>858227.5</v>
      </c>
      <c r="N72" s="46">
        <f t="shared" si="78"/>
        <v>821212.5</v>
      </c>
      <c r="O72" s="46">
        <f t="shared" si="78"/>
        <v>798592.5</v>
      </c>
      <c r="P72" s="46">
        <f t="shared" si="78"/>
        <v>775392.5</v>
      </c>
      <c r="Q72" s="46">
        <f t="shared" si="78"/>
        <v>752192.5</v>
      </c>
      <c r="R72" s="46">
        <f t="shared" si="78"/>
        <v>723267.5</v>
      </c>
      <c r="S72" s="46">
        <f t="shared" si="78"/>
        <v>693830</v>
      </c>
      <c r="T72" s="46">
        <f t="shared" si="78"/>
        <v>669605</v>
      </c>
      <c r="U72" s="46">
        <f t="shared" si="78"/>
        <v>638955</v>
      </c>
      <c r="V72" s="46">
        <f t="shared" si="78"/>
        <v>598530</v>
      </c>
      <c r="W72" s="46">
        <f t="shared" si="78"/>
        <v>528230</v>
      </c>
      <c r="X72" s="47" t="s">
        <v>11</v>
      </c>
      <c r="Y72" s="47"/>
      <c r="Z72" s="494"/>
      <c r="AA72" s="65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</row>
    <row r="73" spans="1:46" s="2" customFormat="1" x14ac:dyDescent="0.25">
      <c r="A73" s="26" t="s">
        <v>103</v>
      </c>
      <c r="B73" s="26" t="s">
        <v>97</v>
      </c>
      <c r="C73" s="306"/>
      <c r="D73" s="58" t="s">
        <v>24</v>
      </c>
      <c r="E73" s="59">
        <v>37667</v>
      </c>
      <c r="F73" s="59"/>
      <c r="G73" s="60" t="s">
        <v>30</v>
      </c>
      <c r="H73" s="60">
        <v>70310001</v>
      </c>
      <c r="I73" s="60">
        <v>530000</v>
      </c>
      <c r="J73" s="2" t="s">
        <v>1</v>
      </c>
      <c r="K73" s="27">
        <v>2190000</v>
      </c>
      <c r="L73" s="4">
        <v>110000</v>
      </c>
      <c r="M73" s="4">
        <v>110000</v>
      </c>
      <c r="N73" s="4">
        <v>110000</v>
      </c>
      <c r="O73" s="4">
        <v>110000</v>
      </c>
      <c r="P73" s="283">
        <v>110000</v>
      </c>
      <c r="Q73" s="283">
        <v>110000</v>
      </c>
      <c r="R73" s="283">
        <v>110000</v>
      </c>
      <c r="S73" s="283">
        <v>110000</v>
      </c>
      <c r="T73" s="283">
        <v>110000</v>
      </c>
      <c r="U73" s="283">
        <v>110000</v>
      </c>
      <c r="V73" s="283">
        <v>110000</v>
      </c>
      <c r="W73" s="283">
        <v>100000</v>
      </c>
      <c r="X73" s="2" t="s">
        <v>11</v>
      </c>
      <c r="Z73" s="490"/>
      <c r="AA73" s="60"/>
    </row>
    <row r="74" spans="1:46" s="2" customFormat="1" x14ac:dyDescent="0.25">
      <c r="A74" s="400"/>
      <c r="B74" s="26"/>
      <c r="C74" s="306"/>
      <c r="D74" s="58"/>
      <c r="E74" s="59" t="s">
        <v>13</v>
      </c>
      <c r="F74" s="59"/>
      <c r="G74" s="60" t="s">
        <v>382</v>
      </c>
      <c r="H74" s="60"/>
      <c r="I74" s="60"/>
      <c r="J74" s="17" t="s">
        <v>2</v>
      </c>
      <c r="K74" s="28">
        <v>934710</v>
      </c>
      <c r="L74" s="11">
        <v>54567.5</v>
      </c>
      <c r="M74" s="11">
        <v>50607.5</v>
      </c>
      <c r="N74" s="11">
        <f>23268.75+23268.75</f>
        <v>46537.5</v>
      </c>
      <c r="O74" s="11">
        <f>21123.75+21123.75</f>
        <v>42247.5</v>
      </c>
      <c r="P74" s="142">
        <f>18923.75+18923.75</f>
        <v>37847.5</v>
      </c>
      <c r="Q74" s="142">
        <f>16723.75+16723.75</f>
        <v>33447.5</v>
      </c>
      <c r="R74" s="142">
        <f>14455+14455</f>
        <v>28910</v>
      </c>
      <c r="S74" s="142">
        <f>12117.5+12117.5</f>
        <v>24235</v>
      </c>
      <c r="T74" s="142">
        <f>9780+9780</f>
        <v>19560</v>
      </c>
      <c r="U74" s="142">
        <f>7305+7305</f>
        <v>14610</v>
      </c>
      <c r="V74" s="142">
        <f>4830+4830</f>
        <v>9660</v>
      </c>
      <c r="W74" s="142">
        <f>2300+2300</f>
        <v>4600</v>
      </c>
      <c r="X74" s="17" t="s">
        <v>11</v>
      </c>
      <c r="Y74" s="17"/>
      <c r="Z74" s="491"/>
      <c r="AA74" s="532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</row>
    <row r="75" spans="1:46" s="6" customFormat="1" ht="13.8" thickBot="1" x14ac:dyDescent="0.3">
      <c r="A75" s="409"/>
      <c r="B75" s="120"/>
      <c r="C75" s="307"/>
      <c r="D75" s="92"/>
      <c r="E75" s="93" t="s">
        <v>31</v>
      </c>
      <c r="F75" s="93" t="s">
        <v>410</v>
      </c>
      <c r="G75" s="157" t="s">
        <v>703</v>
      </c>
      <c r="H75" s="157"/>
      <c r="I75" s="157"/>
      <c r="J75" s="41" t="s">
        <v>6</v>
      </c>
      <c r="K75" s="42">
        <f>K74+K73</f>
        <v>3124710</v>
      </c>
      <c r="L75" s="43">
        <f>L74+L73</f>
        <v>164567.5</v>
      </c>
      <c r="M75" s="43">
        <f t="shared" ref="M75:W75" si="79">M74+M73</f>
        <v>160607.5</v>
      </c>
      <c r="N75" s="43">
        <f t="shared" si="79"/>
        <v>156537.5</v>
      </c>
      <c r="O75" s="43">
        <f t="shared" si="79"/>
        <v>152247.5</v>
      </c>
      <c r="P75" s="43">
        <f t="shared" si="79"/>
        <v>147847.5</v>
      </c>
      <c r="Q75" s="43">
        <f t="shared" si="79"/>
        <v>143447.5</v>
      </c>
      <c r="R75" s="43">
        <f t="shared" si="79"/>
        <v>138910</v>
      </c>
      <c r="S75" s="43">
        <f t="shared" si="79"/>
        <v>134235</v>
      </c>
      <c r="T75" s="43">
        <f t="shared" si="79"/>
        <v>129560</v>
      </c>
      <c r="U75" s="43">
        <f t="shared" si="79"/>
        <v>124610</v>
      </c>
      <c r="V75" s="43">
        <f t="shared" si="79"/>
        <v>119660</v>
      </c>
      <c r="W75" s="43">
        <f t="shared" si="79"/>
        <v>104600</v>
      </c>
      <c r="X75" s="41" t="s">
        <v>11</v>
      </c>
      <c r="Y75" s="41"/>
      <c r="Z75" s="492"/>
      <c r="AA75" s="533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</row>
    <row r="76" spans="1:46" s="2" customFormat="1" x14ac:dyDescent="0.25">
      <c r="A76" s="26"/>
      <c r="B76" s="26"/>
      <c r="C76" s="306"/>
      <c r="D76" s="58"/>
      <c r="E76" s="59"/>
      <c r="F76" s="59"/>
      <c r="G76" s="61" t="s">
        <v>34</v>
      </c>
      <c r="H76" s="61">
        <v>70771019</v>
      </c>
      <c r="I76" s="61">
        <v>591100</v>
      </c>
      <c r="J76" s="58" t="s">
        <v>1</v>
      </c>
      <c r="K76" s="62">
        <f>K73</f>
        <v>2190000</v>
      </c>
      <c r="L76" s="7">
        <f>L73</f>
        <v>110000</v>
      </c>
      <c r="M76" s="7">
        <f t="shared" ref="M76:W76" si="80">M73</f>
        <v>110000</v>
      </c>
      <c r="N76" s="7">
        <f t="shared" si="80"/>
        <v>110000</v>
      </c>
      <c r="O76" s="7">
        <f t="shared" si="80"/>
        <v>110000</v>
      </c>
      <c r="P76" s="7">
        <f t="shared" si="80"/>
        <v>110000</v>
      </c>
      <c r="Q76" s="7">
        <f t="shared" si="80"/>
        <v>110000</v>
      </c>
      <c r="R76" s="7">
        <f t="shared" si="80"/>
        <v>110000</v>
      </c>
      <c r="S76" s="7">
        <f t="shared" si="80"/>
        <v>110000</v>
      </c>
      <c r="T76" s="7">
        <f t="shared" si="80"/>
        <v>110000</v>
      </c>
      <c r="U76" s="7">
        <f t="shared" si="80"/>
        <v>110000</v>
      </c>
      <c r="V76" s="7">
        <f t="shared" si="80"/>
        <v>110000</v>
      </c>
      <c r="W76" s="7">
        <f t="shared" si="80"/>
        <v>100000</v>
      </c>
      <c r="X76" s="40" t="s">
        <v>11</v>
      </c>
      <c r="Z76" s="490"/>
      <c r="AA76" s="60"/>
    </row>
    <row r="77" spans="1:46" s="2" customFormat="1" x14ac:dyDescent="0.25">
      <c r="A77" s="26"/>
      <c r="B77" s="26"/>
      <c r="C77" s="306"/>
      <c r="D77" s="58"/>
      <c r="E77" s="59"/>
      <c r="F77" s="59"/>
      <c r="G77" s="60"/>
      <c r="H77" s="58">
        <v>70771019</v>
      </c>
      <c r="I77" s="58">
        <v>595100</v>
      </c>
      <c r="J77" s="63" t="s">
        <v>2</v>
      </c>
      <c r="K77" s="64">
        <f>K74</f>
        <v>934710</v>
      </c>
      <c r="L77" s="16">
        <f>L74</f>
        <v>54567.5</v>
      </c>
      <c r="M77" s="16">
        <f t="shared" ref="M77:W77" si="81">M74</f>
        <v>50607.5</v>
      </c>
      <c r="N77" s="16">
        <f t="shared" si="81"/>
        <v>46537.5</v>
      </c>
      <c r="O77" s="16">
        <f t="shared" si="81"/>
        <v>42247.5</v>
      </c>
      <c r="P77" s="16">
        <f t="shared" si="81"/>
        <v>37847.5</v>
      </c>
      <c r="Q77" s="16">
        <f t="shared" si="81"/>
        <v>33447.5</v>
      </c>
      <c r="R77" s="16">
        <f t="shared" si="81"/>
        <v>28910</v>
      </c>
      <c r="S77" s="16">
        <f t="shared" si="81"/>
        <v>24235</v>
      </c>
      <c r="T77" s="16">
        <f t="shared" si="81"/>
        <v>19560</v>
      </c>
      <c r="U77" s="16">
        <f t="shared" si="81"/>
        <v>14610</v>
      </c>
      <c r="V77" s="16">
        <f t="shared" si="81"/>
        <v>9660</v>
      </c>
      <c r="W77" s="16">
        <f t="shared" si="81"/>
        <v>4600</v>
      </c>
      <c r="X77" s="56" t="s">
        <v>11</v>
      </c>
      <c r="Y77" s="17"/>
      <c r="Z77" s="491"/>
      <c r="AA77" s="532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</row>
    <row r="78" spans="1:46" s="8" customFormat="1" ht="13.8" thickBot="1" x14ac:dyDescent="0.3">
      <c r="A78" s="122"/>
      <c r="B78" s="122"/>
      <c r="C78" s="307"/>
      <c r="D78" s="92"/>
      <c r="E78" s="92"/>
      <c r="F78" s="92"/>
      <c r="G78" s="92"/>
      <c r="H78" s="92"/>
      <c r="I78" s="92"/>
      <c r="J78" s="65" t="s">
        <v>5</v>
      </c>
      <c r="K78" s="66">
        <f>K77+K76</f>
        <v>3124710</v>
      </c>
      <c r="L78" s="46">
        <f>L77+L76</f>
        <v>164567.5</v>
      </c>
      <c r="M78" s="46">
        <f t="shared" ref="M78:W78" si="82">M77+M76</f>
        <v>160607.5</v>
      </c>
      <c r="N78" s="46">
        <f t="shared" si="82"/>
        <v>156537.5</v>
      </c>
      <c r="O78" s="46">
        <f t="shared" si="82"/>
        <v>152247.5</v>
      </c>
      <c r="P78" s="46">
        <f t="shared" si="82"/>
        <v>147847.5</v>
      </c>
      <c r="Q78" s="46">
        <f t="shared" si="82"/>
        <v>143447.5</v>
      </c>
      <c r="R78" s="46">
        <f t="shared" si="82"/>
        <v>138910</v>
      </c>
      <c r="S78" s="46">
        <f t="shared" si="82"/>
        <v>134235</v>
      </c>
      <c r="T78" s="46">
        <f t="shared" si="82"/>
        <v>129560</v>
      </c>
      <c r="U78" s="46">
        <f t="shared" si="82"/>
        <v>124610</v>
      </c>
      <c r="V78" s="46">
        <f t="shared" si="82"/>
        <v>119660</v>
      </c>
      <c r="W78" s="46">
        <f t="shared" si="82"/>
        <v>104600</v>
      </c>
      <c r="X78" s="47" t="s">
        <v>11</v>
      </c>
      <c r="Y78" s="47"/>
      <c r="Z78" s="494"/>
      <c r="AA78" s="65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</row>
    <row r="79" spans="1:46" s="2" customFormat="1" x14ac:dyDescent="0.25">
      <c r="A79" s="26" t="s">
        <v>0</v>
      </c>
      <c r="B79" s="26" t="s">
        <v>96</v>
      </c>
      <c r="C79" s="306"/>
      <c r="D79" s="14" t="s">
        <v>0</v>
      </c>
      <c r="E79" s="24">
        <v>37667</v>
      </c>
      <c r="F79" s="24" t="s">
        <v>266</v>
      </c>
      <c r="G79" s="15" t="s">
        <v>28</v>
      </c>
      <c r="H79" s="15"/>
      <c r="I79" s="15"/>
      <c r="J79" s="2" t="s">
        <v>1</v>
      </c>
      <c r="K79" s="27">
        <v>73500</v>
      </c>
      <c r="L79" s="4">
        <v>5000</v>
      </c>
      <c r="M79" s="4">
        <v>5000</v>
      </c>
      <c r="N79" s="4">
        <v>5000</v>
      </c>
      <c r="O79" s="4">
        <v>5000</v>
      </c>
      <c r="P79" s="283">
        <v>5000</v>
      </c>
      <c r="Q79" s="283">
        <v>5000</v>
      </c>
      <c r="R79" s="367" t="s">
        <v>11</v>
      </c>
      <c r="S79" s="283"/>
      <c r="T79" s="283"/>
      <c r="Z79" s="490"/>
      <c r="AA79" s="60"/>
    </row>
    <row r="80" spans="1:46" s="2" customFormat="1" x14ac:dyDescent="0.25">
      <c r="A80" s="26"/>
      <c r="B80" s="26"/>
      <c r="C80" s="306"/>
      <c r="D80" s="14"/>
      <c r="E80" s="24" t="s">
        <v>12</v>
      </c>
      <c r="F80" s="24"/>
      <c r="G80" s="15" t="s">
        <v>570</v>
      </c>
      <c r="H80" s="15"/>
      <c r="I80" s="15"/>
      <c r="J80" s="17" t="s">
        <v>2</v>
      </c>
      <c r="K80" s="28">
        <v>19647.5</v>
      </c>
      <c r="L80" s="11">
        <v>1166.25</v>
      </c>
      <c r="M80" s="11">
        <v>986.25</v>
      </c>
      <c r="N80" s="11">
        <f>400.63+400.62</f>
        <v>801.25</v>
      </c>
      <c r="O80" s="11">
        <f>303.13+303.12</f>
        <v>606.25</v>
      </c>
      <c r="P80" s="142">
        <f>203.13+203.12</f>
        <v>406.25</v>
      </c>
      <c r="Q80" s="142">
        <f>103.13+103.12</f>
        <v>206.25</v>
      </c>
      <c r="R80" s="368" t="s">
        <v>11</v>
      </c>
      <c r="S80" s="142"/>
      <c r="T80" s="142"/>
      <c r="U80" s="17"/>
      <c r="V80" s="17"/>
      <c r="W80" s="17"/>
      <c r="X80" s="17"/>
      <c r="Y80" s="17"/>
      <c r="Z80" s="491"/>
      <c r="AA80" s="532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</row>
    <row r="81" spans="1:46" s="6" customFormat="1" ht="13.8" thickBot="1" x14ac:dyDescent="0.3">
      <c r="A81" s="120"/>
      <c r="B81" s="120"/>
      <c r="C81" s="307"/>
      <c r="D81" s="87"/>
      <c r="E81" s="88" t="s">
        <v>14</v>
      </c>
      <c r="F81" s="88" t="s">
        <v>410</v>
      </c>
      <c r="G81" s="126" t="s">
        <v>584</v>
      </c>
      <c r="H81" s="126"/>
      <c r="I81" s="126"/>
      <c r="J81" s="41" t="s">
        <v>6</v>
      </c>
      <c r="K81" s="42">
        <f>K80+K79</f>
        <v>93147.5</v>
      </c>
      <c r="L81" s="43">
        <f>L80+L79</f>
        <v>6166.25</v>
      </c>
      <c r="M81" s="43">
        <f t="shared" ref="M81:Q81" si="83">M80+M79</f>
        <v>5986.25</v>
      </c>
      <c r="N81" s="43">
        <f t="shared" si="83"/>
        <v>5801.25</v>
      </c>
      <c r="O81" s="43">
        <f t="shared" si="83"/>
        <v>5606.25</v>
      </c>
      <c r="P81" s="43">
        <f t="shared" si="83"/>
        <v>5406.25</v>
      </c>
      <c r="Q81" s="43">
        <f t="shared" si="83"/>
        <v>5206.25</v>
      </c>
      <c r="R81" s="41" t="s">
        <v>11</v>
      </c>
      <c r="S81" s="43"/>
      <c r="T81" s="43"/>
      <c r="U81" s="41"/>
      <c r="V81" s="41"/>
      <c r="W81" s="41"/>
      <c r="X81" s="41"/>
      <c r="Y81" s="41"/>
      <c r="Z81" s="492"/>
      <c r="AA81" s="533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</row>
    <row r="82" spans="1:46" s="2" customFormat="1" x14ac:dyDescent="0.25">
      <c r="A82" s="26" t="s">
        <v>0</v>
      </c>
      <c r="B82" s="26" t="s">
        <v>96</v>
      </c>
      <c r="C82" s="306"/>
      <c r="D82" s="14" t="s">
        <v>0</v>
      </c>
      <c r="E82" s="24">
        <v>37667</v>
      </c>
      <c r="F82" s="24" t="s">
        <v>266</v>
      </c>
      <c r="G82" s="15" t="s">
        <v>274</v>
      </c>
      <c r="H82" s="15"/>
      <c r="I82" s="15"/>
      <c r="J82" s="2" t="s">
        <v>1</v>
      </c>
      <c r="K82" s="27">
        <v>130500</v>
      </c>
      <c r="L82" s="4">
        <v>5000</v>
      </c>
      <c r="M82" s="4">
        <v>5000</v>
      </c>
      <c r="N82" s="4">
        <v>5000</v>
      </c>
      <c r="O82" s="4">
        <v>5000</v>
      </c>
      <c r="P82" s="283">
        <v>5000</v>
      </c>
      <c r="Q82" s="283">
        <v>5000</v>
      </c>
      <c r="R82" s="283">
        <v>5000</v>
      </c>
      <c r="S82" s="283">
        <v>5000</v>
      </c>
      <c r="T82" s="283">
        <v>5000</v>
      </c>
      <c r="U82" s="283">
        <v>5000</v>
      </c>
      <c r="V82" s="283">
        <v>5000</v>
      </c>
      <c r="W82" s="283">
        <v>5000</v>
      </c>
      <c r="X82" s="2" t="s">
        <v>11</v>
      </c>
      <c r="Z82" s="490"/>
      <c r="AA82" s="60"/>
    </row>
    <row r="83" spans="1:46" s="2" customFormat="1" x14ac:dyDescent="0.25">
      <c r="A83" s="400"/>
      <c r="B83" s="26"/>
      <c r="C83" s="306"/>
      <c r="D83" s="14"/>
      <c r="E83" s="24" t="s">
        <v>12</v>
      </c>
      <c r="F83" s="24"/>
      <c r="G83" s="15" t="s">
        <v>571</v>
      </c>
      <c r="H83" s="15"/>
      <c r="I83" s="15"/>
      <c r="J83" s="17" t="s">
        <v>2</v>
      </c>
      <c r="K83" s="28">
        <v>46455</v>
      </c>
      <c r="L83" s="11">
        <v>2501.25</v>
      </c>
      <c r="M83" s="11">
        <v>2321.25</v>
      </c>
      <c r="N83" s="11">
        <f>1068.13+1068.12</f>
        <v>2136.25</v>
      </c>
      <c r="O83" s="11">
        <f>970.63+970.62</f>
        <v>1941.25</v>
      </c>
      <c r="P83" s="142">
        <f>870.63+870.62</f>
        <v>1741.25</v>
      </c>
      <c r="Q83" s="142">
        <f>770.63+770.62</f>
        <v>1541.25</v>
      </c>
      <c r="R83" s="142">
        <f>667.5+667.5</f>
        <v>1335</v>
      </c>
      <c r="S83" s="142">
        <f>561.25+561.25</f>
        <v>1122.5</v>
      </c>
      <c r="T83" s="142">
        <f>455+455</f>
        <v>910</v>
      </c>
      <c r="U83" s="142">
        <f>342.5+342.5</f>
        <v>685</v>
      </c>
      <c r="V83" s="142">
        <f>230+230</f>
        <v>460</v>
      </c>
      <c r="W83" s="142">
        <f>115+115</f>
        <v>230</v>
      </c>
      <c r="X83" s="17" t="s">
        <v>11</v>
      </c>
      <c r="Y83" s="17"/>
      <c r="Z83" s="491"/>
      <c r="AA83" s="532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</row>
    <row r="84" spans="1:46" s="6" customFormat="1" ht="13.8" thickBot="1" x14ac:dyDescent="0.3">
      <c r="A84" s="409"/>
      <c r="B84" s="120"/>
      <c r="C84" s="307"/>
      <c r="D84" s="87"/>
      <c r="E84" s="88" t="s">
        <v>14</v>
      </c>
      <c r="F84" s="88" t="s">
        <v>410</v>
      </c>
      <c r="G84" s="126" t="s">
        <v>585</v>
      </c>
      <c r="H84" s="126"/>
      <c r="I84" s="126"/>
      <c r="J84" s="41" t="s">
        <v>6</v>
      </c>
      <c r="K84" s="42">
        <f>K83+K82</f>
        <v>176955</v>
      </c>
      <c r="L84" s="43">
        <f>L83+L82</f>
        <v>7501.25</v>
      </c>
      <c r="M84" s="43">
        <f t="shared" ref="M84:W84" si="84">M83+M82</f>
        <v>7321.25</v>
      </c>
      <c r="N84" s="43">
        <f t="shared" si="84"/>
        <v>7136.25</v>
      </c>
      <c r="O84" s="43">
        <f t="shared" si="84"/>
        <v>6941.25</v>
      </c>
      <c r="P84" s="43">
        <f t="shared" si="84"/>
        <v>6741.25</v>
      </c>
      <c r="Q84" s="43">
        <f t="shared" si="84"/>
        <v>6541.25</v>
      </c>
      <c r="R84" s="43">
        <f t="shared" si="84"/>
        <v>6335</v>
      </c>
      <c r="S84" s="43">
        <f t="shared" si="84"/>
        <v>6122.5</v>
      </c>
      <c r="T84" s="43">
        <f t="shared" si="84"/>
        <v>5910</v>
      </c>
      <c r="U84" s="43">
        <f t="shared" si="84"/>
        <v>5685</v>
      </c>
      <c r="V84" s="43">
        <f t="shared" si="84"/>
        <v>5460</v>
      </c>
      <c r="W84" s="43">
        <f t="shared" si="84"/>
        <v>5230</v>
      </c>
      <c r="X84" s="41" t="s">
        <v>11</v>
      </c>
      <c r="Y84" s="41"/>
      <c r="Z84" s="492"/>
      <c r="AA84" s="533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</row>
    <row r="85" spans="1:46" s="2" customFormat="1" x14ac:dyDescent="0.25">
      <c r="A85" s="26" t="s">
        <v>0</v>
      </c>
      <c r="B85" s="26" t="s">
        <v>96</v>
      </c>
      <c r="C85" s="306"/>
      <c r="D85" s="14" t="s">
        <v>0</v>
      </c>
      <c r="E85" s="24">
        <v>37667</v>
      </c>
      <c r="F85" s="24" t="s">
        <v>269</v>
      </c>
      <c r="G85" s="15" t="s">
        <v>29</v>
      </c>
      <c r="H85" s="15"/>
      <c r="I85" s="15"/>
      <c r="J85" s="2" t="s">
        <v>1</v>
      </c>
      <c r="K85" s="27">
        <v>151000</v>
      </c>
      <c r="L85" s="4">
        <v>10000</v>
      </c>
      <c r="M85" s="4">
        <v>10000</v>
      </c>
      <c r="N85" s="4">
        <v>10000</v>
      </c>
      <c r="O85" s="4">
        <v>10000</v>
      </c>
      <c r="P85" s="283">
        <v>10000</v>
      </c>
      <c r="Q85" s="283">
        <v>10000</v>
      </c>
      <c r="R85" s="283">
        <v>10000</v>
      </c>
      <c r="S85" s="367" t="s">
        <v>11</v>
      </c>
      <c r="T85" s="283"/>
      <c r="U85" s="283"/>
      <c r="V85" s="283"/>
      <c r="W85" s="283"/>
      <c r="Z85" s="490"/>
      <c r="AA85" s="60"/>
    </row>
    <row r="86" spans="1:46" s="2" customFormat="1" x14ac:dyDescent="0.25">
      <c r="A86" s="26"/>
      <c r="B86" s="26"/>
      <c r="C86" s="306"/>
      <c r="D86" s="14"/>
      <c r="E86" s="24" t="s">
        <v>12</v>
      </c>
      <c r="F86" s="24"/>
      <c r="G86" s="15" t="s">
        <v>572</v>
      </c>
      <c r="H86" s="15"/>
      <c r="I86" s="15"/>
      <c r="J86" s="17" t="s">
        <v>2</v>
      </c>
      <c r="K86" s="28">
        <v>45370</v>
      </c>
      <c r="L86" s="11">
        <v>2757.5</v>
      </c>
      <c r="M86" s="11">
        <v>2397.5</v>
      </c>
      <c r="N86" s="11">
        <f>1013.75+1013.75</f>
        <v>2027.5</v>
      </c>
      <c r="O86" s="11">
        <f>818.75+818.75</f>
        <v>1637.5</v>
      </c>
      <c r="P86" s="142">
        <f>618.75+618.75</f>
        <v>1237.5</v>
      </c>
      <c r="Q86" s="142">
        <f>418.75+418.75</f>
        <v>837.5</v>
      </c>
      <c r="R86" s="142">
        <f>212.5+212.5</f>
        <v>425</v>
      </c>
      <c r="S86" s="368" t="s">
        <v>11</v>
      </c>
      <c r="T86" s="142"/>
      <c r="U86" s="142"/>
      <c r="V86" s="142"/>
      <c r="W86" s="142"/>
      <c r="X86" s="17"/>
      <c r="Y86" s="17"/>
      <c r="Z86" s="491"/>
      <c r="AA86" s="532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</row>
    <row r="87" spans="1:46" s="6" customFormat="1" ht="13.8" thickBot="1" x14ac:dyDescent="0.3">
      <c r="A87" s="120"/>
      <c r="B87" s="120"/>
      <c r="C87" s="307"/>
      <c r="D87" s="87"/>
      <c r="E87" s="88" t="s">
        <v>14</v>
      </c>
      <c r="F87" s="88" t="s">
        <v>410</v>
      </c>
      <c r="G87" s="126" t="s">
        <v>586</v>
      </c>
      <c r="H87" s="126"/>
      <c r="I87" s="126"/>
      <c r="J87" s="41" t="s">
        <v>6</v>
      </c>
      <c r="K87" s="42">
        <f>K86+K85</f>
        <v>196370</v>
      </c>
      <c r="L87" s="43">
        <f>L86+L85</f>
        <v>12757.5</v>
      </c>
      <c r="M87" s="43">
        <f t="shared" ref="M87:R87" si="85">M86+M85</f>
        <v>12397.5</v>
      </c>
      <c r="N87" s="43">
        <f t="shared" si="85"/>
        <v>12027.5</v>
      </c>
      <c r="O87" s="43">
        <f t="shared" si="85"/>
        <v>11637.5</v>
      </c>
      <c r="P87" s="43">
        <f t="shared" si="85"/>
        <v>11237.5</v>
      </c>
      <c r="Q87" s="43">
        <f t="shared" si="85"/>
        <v>10837.5</v>
      </c>
      <c r="R87" s="43">
        <f t="shared" si="85"/>
        <v>10425</v>
      </c>
      <c r="S87" s="41" t="s">
        <v>11</v>
      </c>
      <c r="T87" s="43"/>
      <c r="U87" s="43"/>
      <c r="V87" s="43"/>
      <c r="W87" s="43"/>
      <c r="X87" s="41"/>
      <c r="Y87" s="41"/>
      <c r="Z87" s="492"/>
      <c r="AA87" s="533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</row>
    <row r="88" spans="1:46" s="2" customFormat="1" x14ac:dyDescent="0.25">
      <c r="A88" s="26"/>
      <c r="B88" s="26"/>
      <c r="C88" s="306"/>
      <c r="D88" s="14"/>
      <c r="E88" s="24"/>
      <c r="F88" s="24"/>
      <c r="G88" s="13" t="s">
        <v>33</v>
      </c>
      <c r="H88" s="13">
        <v>60771019</v>
      </c>
      <c r="I88" s="13">
        <v>591100</v>
      </c>
      <c r="J88" s="14" t="s">
        <v>1</v>
      </c>
      <c r="K88" s="29">
        <f>K85+K82+K79</f>
        <v>355000</v>
      </c>
      <c r="L88" s="7">
        <f>L85+L82+L79</f>
        <v>20000</v>
      </c>
      <c r="M88" s="7">
        <f t="shared" ref="M88:Q88" si="86">M85+M82+M79</f>
        <v>20000</v>
      </c>
      <c r="N88" s="7">
        <f t="shared" si="86"/>
        <v>20000</v>
      </c>
      <c r="O88" s="7">
        <f t="shared" si="86"/>
        <v>20000</v>
      </c>
      <c r="P88" s="7">
        <f t="shared" si="86"/>
        <v>20000</v>
      </c>
      <c r="Q88" s="7">
        <f t="shared" si="86"/>
        <v>20000</v>
      </c>
      <c r="R88" s="7">
        <f>R85+R82</f>
        <v>15000</v>
      </c>
      <c r="S88" s="7">
        <f>S82</f>
        <v>5000</v>
      </c>
      <c r="T88" s="7">
        <f t="shared" ref="T88:W88" si="87">T82</f>
        <v>5000</v>
      </c>
      <c r="U88" s="7">
        <f t="shared" si="87"/>
        <v>5000</v>
      </c>
      <c r="V88" s="7">
        <f t="shared" si="87"/>
        <v>5000</v>
      </c>
      <c r="W88" s="7">
        <f t="shared" si="87"/>
        <v>5000</v>
      </c>
      <c r="X88" s="40" t="s">
        <v>11</v>
      </c>
      <c r="Z88" s="490"/>
      <c r="AA88" s="60"/>
    </row>
    <row r="89" spans="1:46" s="2" customFormat="1" x14ac:dyDescent="0.25">
      <c r="A89" s="26"/>
      <c r="B89" s="26"/>
      <c r="C89" s="306"/>
      <c r="D89" s="14"/>
      <c r="E89" s="24"/>
      <c r="F89" s="24"/>
      <c r="G89" s="15"/>
      <c r="H89" s="13">
        <v>60771019</v>
      </c>
      <c r="I89" s="153">
        <v>595100</v>
      </c>
      <c r="J89" s="18" t="s">
        <v>2</v>
      </c>
      <c r="K89" s="30">
        <f>K86+K83+K80</f>
        <v>111472.5</v>
      </c>
      <c r="L89" s="16">
        <f>L86+L83+L80</f>
        <v>6425</v>
      </c>
      <c r="M89" s="16">
        <f t="shared" ref="M89:Q89" si="88">M86+M83+M80</f>
        <v>5705</v>
      </c>
      <c r="N89" s="16">
        <f t="shared" si="88"/>
        <v>4965</v>
      </c>
      <c r="O89" s="16">
        <f t="shared" si="88"/>
        <v>4185</v>
      </c>
      <c r="P89" s="16">
        <f t="shared" si="88"/>
        <v>3385</v>
      </c>
      <c r="Q89" s="16">
        <f t="shared" si="88"/>
        <v>2585</v>
      </c>
      <c r="R89" s="16">
        <f>R86+R83</f>
        <v>1760</v>
      </c>
      <c r="S89" s="16">
        <f>S83</f>
        <v>1122.5</v>
      </c>
      <c r="T89" s="16">
        <f t="shared" ref="T89:W89" si="89">T83</f>
        <v>910</v>
      </c>
      <c r="U89" s="16">
        <f t="shared" si="89"/>
        <v>685</v>
      </c>
      <c r="V89" s="16">
        <f t="shared" si="89"/>
        <v>460</v>
      </c>
      <c r="W89" s="16">
        <f t="shared" si="89"/>
        <v>230</v>
      </c>
      <c r="X89" s="56" t="s">
        <v>11</v>
      </c>
      <c r="Y89" s="17"/>
      <c r="Z89" s="491"/>
      <c r="AA89" s="532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</row>
    <row r="90" spans="1:46" s="8" customFormat="1" ht="13.8" thickBot="1" x14ac:dyDescent="0.3">
      <c r="A90" s="122"/>
      <c r="B90" s="122"/>
      <c r="C90" s="307"/>
      <c r="D90" s="87"/>
      <c r="E90" s="87"/>
      <c r="F90" s="87"/>
      <c r="G90" s="87"/>
      <c r="H90" s="87"/>
      <c r="I90" s="87"/>
      <c r="J90" s="50" t="s">
        <v>5</v>
      </c>
      <c r="K90" s="51">
        <f>K89+K88</f>
        <v>466472.5</v>
      </c>
      <c r="L90" s="46">
        <f>L89+L88</f>
        <v>26425</v>
      </c>
      <c r="M90" s="46">
        <f t="shared" ref="M90:R90" si="90">M89+M88</f>
        <v>25705</v>
      </c>
      <c r="N90" s="46">
        <f t="shared" si="90"/>
        <v>24965</v>
      </c>
      <c r="O90" s="46">
        <f t="shared" si="90"/>
        <v>24185</v>
      </c>
      <c r="P90" s="46">
        <f t="shared" si="90"/>
        <v>23385</v>
      </c>
      <c r="Q90" s="46">
        <f t="shared" si="90"/>
        <v>22585</v>
      </c>
      <c r="R90" s="46">
        <f t="shared" si="90"/>
        <v>16760</v>
      </c>
      <c r="S90" s="46">
        <f t="shared" ref="S90:W90" si="91">S89+S88</f>
        <v>6122.5</v>
      </c>
      <c r="T90" s="46">
        <f t="shared" si="91"/>
        <v>5910</v>
      </c>
      <c r="U90" s="46">
        <f t="shared" si="91"/>
        <v>5685</v>
      </c>
      <c r="V90" s="46">
        <f t="shared" si="91"/>
        <v>5460</v>
      </c>
      <c r="W90" s="46">
        <f t="shared" si="91"/>
        <v>5230</v>
      </c>
      <c r="X90" s="47" t="s">
        <v>11</v>
      </c>
      <c r="Y90" s="47"/>
      <c r="Z90" s="494"/>
      <c r="AA90" s="65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</row>
    <row r="91" spans="1:46" s="6" customFormat="1" x14ac:dyDescent="0.25">
      <c r="A91" s="26"/>
      <c r="B91" s="26" t="s">
        <v>97</v>
      </c>
      <c r="C91" s="306"/>
      <c r="D91" s="10" t="s">
        <v>4</v>
      </c>
      <c r="E91" s="25">
        <v>37667</v>
      </c>
      <c r="F91" s="25" t="s">
        <v>278</v>
      </c>
      <c r="G91" s="12" t="s">
        <v>279</v>
      </c>
      <c r="H91" s="12">
        <v>61313136</v>
      </c>
      <c r="I91" s="12">
        <v>524700</v>
      </c>
      <c r="J91" s="2" t="s">
        <v>1</v>
      </c>
      <c r="K91" s="27">
        <v>211000</v>
      </c>
      <c r="L91" s="4">
        <v>20000</v>
      </c>
      <c r="M91" s="4">
        <v>20000</v>
      </c>
      <c r="N91" s="4" t="s">
        <v>11</v>
      </c>
      <c r="O91" s="4"/>
      <c r="P91" s="283"/>
      <c r="Q91" s="283"/>
      <c r="R91" s="283"/>
      <c r="S91" s="283"/>
      <c r="T91" s="283"/>
      <c r="U91" s="2"/>
      <c r="V91" s="2"/>
      <c r="W91" s="2"/>
      <c r="X91" s="2"/>
      <c r="Y91" s="2"/>
      <c r="Z91" s="490"/>
      <c r="AA91" s="60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s="6" customFormat="1" x14ac:dyDescent="0.25">
      <c r="A92" s="26"/>
      <c r="B92" s="26"/>
      <c r="C92" s="306"/>
      <c r="D92" s="84"/>
      <c r="E92" s="25" t="s">
        <v>13</v>
      </c>
      <c r="F92" s="25"/>
      <c r="G92" s="12" t="s">
        <v>588</v>
      </c>
      <c r="H92" s="12"/>
      <c r="I92" s="12"/>
      <c r="J92" s="17" t="s">
        <v>2</v>
      </c>
      <c r="K92" s="28">
        <v>38560</v>
      </c>
      <c r="L92" s="11">
        <v>1460</v>
      </c>
      <c r="M92" s="11">
        <v>740</v>
      </c>
      <c r="N92" s="11" t="s">
        <v>11</v>
      </c>
      <c r="O92" s="11"/>
      <c r="P92" s="142"/>
      <c r="Q92" s="142"/>
      <c r="R92" s="142"/>
      <c r="S92" s="142"/>
      <c r="T92" s="142"/>
      <c r="U92" s="17"/>
      <c r="V92" s="17"/>
      <c r="W92" s="17"/>
      <c r="X92" s="17"/>
      <c r="Y92" s="17"/>
      <c r="Z92" s="491"/>
      <c r="AA92" s="532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</row>
    <row r="93" spans="1:46" s="6" customFormat="1" ht="13.8" thickBot="1" x14ac:dyDescent="0.3">
      <c r="A93" s="120"/>
      <c r="B93" s="120"/>
      <c r="C93" s="307"/>
      <c r="D93" s="89"/>
      <c r="E93" s="90" t="s">
        <v>16</v>
      </c>
      <c r="F93" s="90" t="s">
        <v>410</v>
      </c>
      <c r="G93" s="124" t="s">
        <v>589</v>
      </c>
      <c r="H93" s="124"/>
      <c r="I93" s="124"/>
      <c r="J93" s="41" t="s">
        <v>6</v>
      </c>
      <c r="K93" s="42">
        <f>K92+K91</f>
        <v>249560</v>
      </c>
      <c r="L93" s="43">
        <f>L92+L91</f>
        <v>21460</v>
      </c>
      <c r="M93" s="43">
        <f t="shared" ref="M93" si="92">M92+M91</f>
        <v>20740</v>
      </c>
      <c r="N93" s="43" t="s">
        <v>11</v>
      </c>
      <c r="O93" s="43"/>
      <c r="P93" s="43"/>
      <c r="Q93" s="43"/>
      <c r="R93" s="43"/>
      <c r="S93" s="43"/>
      <c r="T93" s="43"/>
      <c r="U93" s="41"/>
      <c r="V93" s="41"/>
      <c r="W93" s="41"/>
      <c r="X93" s="41"/>
      <c r="Y93" s="41"/>
      <c r="Z93" s="492"/>
      <c r="AA93" s="533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</row>
    <row r="94" spans="1:46" s="6" customFormat="1" x14ac:dyDescent="0.25">
      <c r="A94" s="26" t="s">
        <v>4</v>
      </c>
      <c r="B94" s="26" t="s">
        <v>97</v>
      </c>
      <c r="C94" s="306"/>
      <c r="D94" s="10" t="s">
        <v>4</v>
      </c>
      <c r="E94" s="25">
        <v>37667</v>
      </c>
      <c r="F94" s="25" t="s">
        <v>267</v>
      </c>
      <c r="G94" s="12" t="s">
        <v>275</v>
      </c>
      <c r="H94" s="12"/>
      <c r="I94" s="12"/>
      <c r="J94" s="2" t="s">
        <v>1</v>
      </c>
      <c r="K94" s="27">
        <v>151000</v>
      </c>
      <c r="L94" s="4">
        <v>10000</v>
      </c>
      <c r="M94" s="4">
        <v>10000</v>
      </c>
      <c r="N94" s="4">
        <v>5000</v>
      </c>
      <c r="O94" s="4">
        <v>5000</v>
      </c>
      <c r="P94" s="283">
        <v>5000</v>
      </c>
      <c r="Q94" s="283">
        <v>5000</v>
      </c>
      <c r="R94" s="283">
        <v>5000</v>
      </c>
      <c r="S94" s="283">
        <v>5000</v>
      </c>
      <c r="T94" s="283">
        <v>5000</v>
      </c>
      <c r="U94" s="283">
        <v>5000</v>
      </c>
      <c r="V94" s="283">
        <v>5000</v>
      </c>
      <c r="W94" s="283">
        <v>5000</v>
      </c>
      <c r="X94" s="2" t="s">
        <v>11</v>
      </c>
      <c r="Y94" s="2"/>
      <c r="Z94" s="490"/>
      <c r="AA94" s="60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s="6" customFormat="1" x14ac:dyDescent="0.25">
      <c r="A95" s="400"/>
      <c r="B95" s="26"/>
      <c r="C95" s="306"/>
      <c r="D95" s="84"/>
      <c r="E95" s="25" t="s">
        <v>13</v>
      </c>
      <c r="F95" s="25"/>
      <c r="G95" s="12" t="s">
        <v>590</v>
      </c>
      <c r="H95" s="12"/>
      <c r="I95" s="12"/>
      <c r="J95" s="17" t="s">
        <v>2</v>
      </c>
      <c r="K95" s="28">
        <v>52395</v>
      </c>
      <c r="L95" s="11">
        <v>2866.25</v>
      </c>
      <c r="M95" s="11">
        <v>2506.25</v>
      </c>
      <c r="N95" s="11">
        <f>1068.13+1068.12</f>
        <v>2136.25</v>
      </c>
      <c r="O95" s="11">
        <f>970.63+970.62</f>
        <v>1941.25</v>
      </c>
      <c r="P95" s="142">
        <f>870.63+870.62</f>
        <v>1741.25</v>
      </c>
      <c r="Q95" s="142">
        <f>770.63+770.62</f>
        <v>1541.25</v>
      </c>
      <c r="R95" s="142">
        <f>667.5+667.5</f>
        <v>1335</v>
      </c>
      <c r="S95" s="142">
        <f>561.25+561.25</f>
        <v>1122.5</v>
      </c>
      <c r="T95" s="142">
        <f>455+455</f>
        <v>910</v>
      </c>
      <c r="U95" s="142">
        <f>342.5+342.5</f>
        <v>685</v>
      </c>
      <c r="V95" s="142">
        <f>230+230</f>
        <v>460</v>
      </c>
      <c r="W95" s="142">
        <f>115+115</f>
        <v>230</v>
      </c>
      <c r="X95" s="17" t="s">
        <v>11</v>
      </c>
      <c r="Y95" s="17"/>
      <c r="Z95" s="491"/>
      <c r="AA95" s="532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</row>
    <row r="96" spans="1:46" s="6" customFormat="1" ht="13.8" thickBot="1" x14ac:dyDescent="0.3">
      <c r="A96" s="409"/>
      <c r="B96" s="120"/>
      <c r="C96" s="307"/>
      <c r="D96" s="89"/>
      <c r="E96" s="90" t="s">
        <v>16</v>
      </c>
      <c r="F96" s="90" t="s">
        <v>410</v>
      </c>
      <c r="G96" s="124" t="s">
        <v>591</v>
      </c>
      <c r="H96" s="124"/>
      <c r="I96" s="124"/>
      <c r="J96" s="41" t="s">
        <v>6</v>
      </c>
      <c r="K96" s="42">
        <f>K95+K94</f>
        <v>203395</v>
      </c>
      <c r="L96" s="43">
        <f>L95+L94</f>
        <v>12866.25</v>
      </c>
      <c r="M96" s="43">
        <f t="shared" ref="M96" si="93">M95+M94</f>
        <v>12506.25</v>
      </c>
      <c r="N96" s="43">
        <f>N95+N94</f>
        <v>7136.25</v>
      </c>
      <c r="O96" s="43">
        <f t="shared" ref="O96:T96" si="94">O95+O94</f>
        <v>6941.25</v>
      </c>
      <c r="P96" s="43">
        <f t="shared" si="94"/>
        <v>6741.25</v>
      </c>
      <c r="Q96" s="43">
        <f t="shared" si="94"/>
        <v>6541.25</v>
      </c>
      <c r="R96" s="43">
        <f t="shared" si="94"/>
        <v>6335</v>
      </c>
      <c r="S96" s="43">
        <f t="shared" si="94"/>
        <v>6122.5</v>
      </c>
      <c r="T96" s="43">
        <f t="shared" si="94"/>
        <v>5910</v>
      </c>
      <c r="U96" s="43">
        <f t="shared" ref="U96:W96" si="95">U95+U94</f>
        <v>5685</v>
      </c>
      <c r="V96" s="43">
        <f t="shared" si="95"/>
        <v>5460</v>
      </c>
      <c r="W96" s="43">
        <f t="shared" si="95"/>
        <v>5230</v>
      </c>
      <c r="X96" s="41" t="s">
        <v>11</v>
      </c>
      <c r="Y96" s="41"/>
      <c r="Z96" s="492"/>
      <c r="AA96" s="533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</row>
    <row r="97" spans="1:46" s="6" customFormat="1" x14ac:dyDescent="0.25">
      <c r="A97" s="26" t="s">
        <v>4</v>
      </c>
      <c r="B97" s="26" t="s">
        <v>97</v>
      </c>
      <c r="C97" s="306"/>
      <c r="D97" s="10" t="s">
        <v>4</v>
      </c>
      <c r="E97" s="25">
        <v>37667</v>
      </c>
      <c r="F97" s="25" t="s">
        <v>267</v>
      </c>
      <c r="G97" s="12" t="s">
        <v>26</v>
      </c>
      <c r="H97" s="12">
        <v>61312130</v>
      </c>
      <c r="I97" s="12">
        <v>586100</v>
      </c>
      <c r="J97" s="2" t="s">
        <v>1</v>
      </c>
      <c r="K97" s="27">
        <v>693000</v>
      </c>
      <c r="L97" s="4">
        <v>35000</v>
      </c>
      <c r="M97" s="4">
        <v>35000</v>
      </c>
      <c r="N97" s="4">
        <v>35000</v>
      </c>
      <c r="O97" s="4">
        <v>35000</v>
      </c>
      <c r="P97" s="283">
        <v>35000</v>
      </c>
      <c r="Q97" s="283">
        <v>35000</v>
      </c>
      <c r="R97" s="283">
        <v>35000</v>
      </c>
      <c r="S97" s="283">
        <v>35000</v>
      </c>
      <c r="T97" s="283">
        <v>35000</v>
      </c>
      <c r="U97" s="283">
        <v>35000</v>
      </c>
      <c r="V97" s="283">
        <v>30000</v>
      </c>
      <c r="W97" s="283">
        <v>30000</v>
      </c>
      <c r="X97" s="2" t="s">
        <v>11</v>
      </c>
      <c r="Y97" s="2"/>
      <c r="Z97" s="490"/>
      <c r="AA97" s="60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 s="6" customFormat="1" x14ac:dyDescent="0.25">
      <c r="A98" s="400"/>
      <c r="B98" s="26"/>
      <c r="C98" s="306"/>
      <c r="D98" s="84"/>
      <c r="E98" s="25" t="s">
        <v>13</v>
      </c>
      <c r="F98" s="25"/>
      <c r="G98" s="12" t="s">
        <v>592</v>
      </c>
      <c r="H98" s="12"/>
      <c r="I98" s="12"/>
      <c r="J98" s="17" t="s">
        <v>2</v>
      </c>
      <c r="K98" s="28">
        <v>291515</v>
      </c>
      <c r="L98" s="11">
        <v>17048.75</v>
      </c>
      <c r="M98" s="11">
        <v>15788.75</v>
      </c>
      <c r="N98" s="11">
        <f>7246.88+7246.87</f>
        <v>14493.75</v>
      </c>
      <c r="O98" s="11">
        <f>6564.38+6564.37</f>
        <v>13128.75</v>
      </c>
      <c r="P98" s="142">
        <f>5864.38+5864.37</f>
        <v>11728.75</v>
      </c>
      <c r="Q98" s="142">
        <f>5164.38+5164.37</f>
        <v>10328.75</v>
      </c>
      <c r="R98" s="142">
        <f>4442.5+4442.5</f>
        <v>8885</v>
      </c>
      <c r="S98" s="142">
        <f>3698.75+3698.75</f>
        <v>7397.5</v>
      </c>
      <c r="T98" s="142">
        <f>2955+2955</f>
        <v>5910</v>
      </c>
      <c r="U98" s="142">
        <f>2167.5+2167.5</f>
        <v>4335</v>
      </c>
      <c r="V98" s="142">
        <f>1380+1380</f>
        <v>2760</v>
      </c>
      <c r="W98" s="142">
        <f>690+690</f>
        <v>1380</v>
      </c>
      <c r="X98" s="17" t="s">
        <v>11</v>
      </c>
      <c r="Y98" s="17"/>
      <c r="Z98" s="491"/>
      <c r="AA98" s="532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</row>
    <row r="99" spans="1:46" s="6" customFormat="1" ht="13.8" thickBot="1" x14ac:dyDescent="0.3">
      <c r="A99" s="409"/>
      <c r="B99" s="120"/>
      <c r="C99" s="307"/>
      <c r="D99" s="89"/>
      <c r="E99" s="90" t="s">
        <v>16</v>
      </c>
      <c r="F99" s="90" t="s">
        <v>410</v>
      </c>
      <c r="G99" s="124" t="s">
        <v>587</v>
      </c>
      <c r="H99" s="124"/>
      <c r="I99" s="124"/>
      <c r="J99" s="41" t="s">
        <v>6</v>
      </c>
      <c r="K99" s="42">
        <f>K98+K97</f>
        <v>984515</v>
      </c>
      <c r="L99" s="43">
        <f>L98+L97</f>
        <v>52048.75</v>
      </c>
      <c r="M99" s="43">
        <f t="shared" ref="M99" si="96">M98+M97</f>
        <v>50788.75</v>
      </c>
      <c r="N99" s="43">
        <f>N98+N97</f>
        <v>49493.75</v>
      </c>
      <c r="O99" s="43">
        <f t="shared" ref="O99:W99" si="97">O98+O97</f>
        <v>48128.75</v>
      </c>
      <c r="P99" s="43">
        <f t="shared" si="97"/>
        <v>46728.75</v>
      </c>
      <c r="Q99" s="43">
        <f t="shared" si="97"/>
        <v>45328.75</v>
      </c>
      <c r="R99" s="43">
        <f t="shared" si="97"/>
        <v>43885</v>
      </c>
      <c r="S99" s="43">
        <f t="shared" si="97"/>
        <v>42397.5</v>
      </c>
      <c r="T99" s="43">
        <f t="shared" si="97"/>
        <v>40910</v>
      </c>
      <c r="U99" s="43">
        <f t="shared" si="97"/>
        <v>39335</v>
      </c>
      <c r="V99" s="43">
        <f t="shared" si="97"/>
        <v>32760</v>
      </c>
      <c r="W99" s="43">
        <f t="shared" si="97"/>
        <v>31380</v>
      </c>
      <c r="X99" s="41" t="s">
        <v>11</v>
      </c>
      <c r="Y99" s="41"/>
      <c r="Z99" s="492"/>
      <c r="AA99" s="533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</row>
    <row r="100" spans="1:46" s="6" customFormat="1" x14ac:dyDescent="0.25">
      <c r="A100" s="26" t="s">
        <v>4</v>
      </c>
      <c r="B100" s="26" t="s">
        <v>97</v>
      </c>
      <c r="C100" s="306"/>
      <c r="D100" s="10" t="s">
        <v>4</v>
      </c>
      <c r="E100" s="25">
        <v>37667</v>
      </c>
      <c r="F100" s="25" t="s">
        <v>267</v>
      </c>
      <c r="G100" s="12" t="s">
        <v>27</v>
      </c>
      <c r="H100" s="12"/>
      <c r="I100" s="12"/>
      <c r="J100" s="2" t="s">
        <v>1</v>
      </c>
      <c r="K100" s="27">
        <v>173000</v>
      </c>
      <c r="L100" s="4">
        <v>10000</v>
      </c>
      <c r="M100" s="4">
        <v>10000</v>
      </c>
      <c r="N100" s="4">
        <v>10000</v>
      </c>
      <c r="O100" s="4">
        <v>10000</v>
      </c>
      <c r="P100" s="283">
        <v>10000</v>
      </c>
      <c r="Q100" s="283">
        <v>10000</v>
      </c>
      <c r="R100" s="283">
        <v>5000</v>
      </c>
      <c r="S100" s="283">
        <v>5000</v>
      </c>
      <c r="T100" s="283">
        <v>5000</v>
      </c>
      <c r="U100" s="283">
        <v>5000</v>
      </c>
      <c r="V100" s="283">
        <v>5000</v>
      </c>
      <c r="W100" s="283">
        <v>5000</v>
      </c>
      <c r="X100" s="2" t="s">
        <v>11</v>
      </c>
      <c r="Y100" s="2"/>
      <c r="Z100" s="490"/>
      <c r="AA100" s="60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s="6" customFormat="1" x14ac:dyDescent="0.25">
      <c r="A101" s="400"/>
      <c r="B101" s="26"/>
      <c r="C101" s="306"/>
      <c r="D101" s="84"/>
      <c r="E101" s="25" t="s">
        <v>13</v>
      </c>
      <c r="F101" s="25"/>
      <c r="G101" s="12" t="s">
        <v>593</v>
      </c>
      <c r="H101" s="12"/>
      <c r="I101" s="12"/>
      <c r="J101" s="17" t="s">
        <v>2</v>
      </c>
      <c r="K101" s="28">
        <v>62527.5</v>
      </c>
      <c r="L101" s="11">
        <v>3667.5</v>
      </c>
      <c r="M101" s="11">
        <v>3307.5</v>
      </c>
      <c r="N101" s="11">
        <f>1468.75+1468.75</f>
        <v>2937.5</v>
      </c>
      <c r="O101" s="11">
        <f>1273.75+1273.75</f>
        <v>2547.5</v>
      </c>
      <c r="P101" s="142">
        <f>1073.75+1073.75</f>
        <v>2147.5</v>
      </c>
      <c r="Q101" s="142">
        <f>873.75+873.75</f>
        <v>1747.5</v>
      </c>
      <c r="R101" s="142">
        <f>667.5+667.5</f>
        <v>1335</v>
      </c>
      <c r="S101" s="142">
        <f>561.25+561.25</f>
        <v>1122.5</v>
      </c>
      <c r="T101" s="142">
        <f>455+455</f>
        <v>910</v>
      </c>
      <c r="U101" s="142">
        <f>342.5+342.5</f>
        <v>685</v>
      </c>
      <c r="V101" s="142">
        <f>230+230</f>
        <v>460</v>
      </c>
      <c r="W101" s="142">
        <f>115+115</f>
        <v>230</v>
      </c>
      <c r="X101" s="17" t="s">
        <v>11</v>
      </c>
      <c r="Y101" s="17"/>
      <c r="Z101" s="491"/>
      <c r="AA101" s="532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</row>
    <row r="102" spans="1:46" s="6" customFormat="1" ht="13.8" thickBot="1" x14ac:dyDescent="0.3">
      <c r="A102" s="409"/>
      <c r="B102" s="120"/>
      <c r="C102" s="307"/>
      <c r="D102" s="89"/>
      <c r="E102" s="90" t="s">
        <v>16</v>
      </c>
      <c r="F102" s="90" t="s">
        <v>410</v>
      </c>
      <c r="G102" s="124" t="s">
        <v>594</v>
      </c>
      <c r="H102" s="124"/>
      <c r="I102" s="124"/>
      <c r="J102" s="41" t="s">
        <v>6</v>
      </c>
      <c r="K102" s="42">
        <f>K101+K100</f>
        <v>235527.5</v>
      </c>
      <c r="L102" s="43">
        <f>L101+L100</f>
        <v>13667.5</v>
      </c>
      <c r="M102" s="43">
        <f t="shared" ref="M102" si="98">M101+M100</f>
        <v>13307.5</v>
      </c>
      <c r="N102" s="43">
        <f>N101+N100</f>
        <v>12937.5</v>
      </c>
      <c r="O102" s="43">
        <f t="shared" ref="O102:W102" si="99">O101+O100</f>
        <v>12547.5</v>
      </c>
      <c r="P102" s="43">
        <f t="shared" si="99"/>
        <v>12147.5</v>
      </c>
      <c r="Q102" s="43">
        <f t="shared" si="99"/>
        <v>11747.5</v>
      </c>
      <c r="R102" s="43">
        <f t="shared" si="99"/>
        <v>6335</v>
      </c>
      <c r="S102" s="43">
        <f t="shared" si="99"/>
        <v>6122.5</v>
      </c>
      <c r="T102" s="43">
        <f t="shared" si="99"/>
        <v>5910</v>
      </c>
      <c r="U102" s="43">
        <f t="shared" si="99"/>
        <v>5685</v>
      </c>
      <c r="V102" s="43">
        <f t="shared" si="99"/>
        <v>5460</v>
      </c>
      <c r="W102" s="43">
        <f t="shared" si="99"/>
        <v>5230</v>
      </c>
      <c r="X102" s="41" t="s">
        <v>11</v>
      </c>
      <c r="Y102" s="41"/>
      <c r="Z102" s="492"/>
      <c r="AA102" s="533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</row>
    <row r="103" spans="1:46" s="6" customFormat="1" x14ac:dyDescent="0.25">
      <c r="A103" s="26"/>
      <c r="B103" s="26" t="s">
        <v>97</v>
      </c>
      <c r="C103" s="306"/>
      <c r="D103" s="10" t="s">
        <v>4</v>
      </c>
      <c r="E103" s="25">
        <v>37667</v>
      </c>
      <c r="F103" s="25" t="s">
        <v>278</v>
      </c>
      <c r="G103" s="12" t="s">
        <v>277</v>
      </c>
      <c r="H103" s="12">
        <v>61302130</v>
      </c>
      <c r="I103" s="12">
        <v>524700</v>
      </c>
      <c r="J103" s="2" t="s">
        <v>1</v>
      </c>
      <c r="K103" s="27">
        <v>267500</v>
      </c>
      <c r="L103" s="4">
        <v>25000</v>
      </c>
      <c r="M103" s="2" t="s">
        <v>11</v>
      </c>
      <c r="N103" s="4"/>
      <c r="O103" s="4"/>
      <c r="P103" s="283"/>
      <c r="Q103" s="283"/>
      <c r="R103" s="283"/>
      <c r="S103" s="283"/>
      <c r="T103" s="283"/>
      <c r="U103" s="283"/>
      <c r="V103" s="283"/>
      <c r="W103" s="283"/>
      <c r="X103" s="2"/>
      <c r="Y103" s="2"/>
      <c r="Z103" s="490"/>
      <c r="AA103" s="60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s="6" customFormat="1" x14ac:dyDescent="0.25">
      <c r="A104" s="26"/>
      <c r="B104" s="26"/>
      <c r="C104" s="306"/>
      <c r="D104" s="84"/>
      <c r="E104" s="25" t="s">
        <v>13</v>
      </c>
      <c r="F104" s="25"/>
      <c r="G104" s="12" t="s">
        <v>595</v>
      </c>
      <c r="H104" s="12"/>
      <c r="I104" s="12"/>
      <c r="J104" s="17" t="s">
        <v>2</v>
      </c>
      <c r="K104" s="28">
        <v>44045</v>
      </c>
      <c r="L104" s="11">
        <v>900</v>
      </c>
      <c r="M104" s="17" t="s">
        <v>11</v>
      </c>
      <c r="N104" s="11"/>
      <c r="O104" s="11"/>
      <c r="P104" s="142"/>
      <c r="Q104" s="142"/>
      <c r="R104" s="142"/>
      <c r="S104" s="142"/>
      <c r="T104" s="142"/>
      <c r="U104" s="142"/>
      <c r="V104" s="142"/>
      <c r="W104" s="142"/>
      <c r="X104" s="17"/>
      <c r="Y104" s="17"/>
      <c r="Z104" s="491"/>
      <c r="AA104" s="532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</row>
    <row r="105" spans="1:46" s="6" customFormat="1" ht="13.8" thickBot="1" x14ac:dyDescent="0.3">
      <c r="A105" s="120"/>
      <c r="B105" s="120"/>
      <c r="C105" s="307"/>
      <c r="D105" s="89"/>
      <c r="E105" s="90" t="s">
        <v>16</v>
      </c>
      <c r="F105" s="90" t="s">
        <v>410</v>
      </c>
      <c r="G105" s="124" t="s">
        <v>284</v>
      </c>
      <c r="H105" s="124"/>
      <c r="I105" s="124"/>
      <c r="J105" s="41" t="s">
        <v>6</v>
      </c>
      <c r="K105" s="42">
        <f>K104+K103</f>
        <v>311545</v>
      </c>
      <c r="L105" s="43">
        <f>L104+L103</f>
        <v>25900</v>
      </c>
      <c r="M105" s="41" t="s">
        <v>11</v>
      </c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1"/>
      <c r="Y105" s="41"/>
      <c r="Z105" s="492"/>
      <c r="AA105" s="533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</row>
    <row r="106" spans="1:46" s="6" customFormat="1" x14ac:dyDescent="0.25">
      <c r="A106" s="26"/>
      <c r="B106" s="26" t="s">
        <v>97</v>
      </c>
      <c r="C106" s="306"/>
      <c r="D106" s="10" t="s">
        <v>4</v>
      </c>
      <c r="E106" s="25">
        <v>37667</v>
      </c>
      <c r="F106" s="25" t="s">
        <v>267</v>
      </c>
      <c r="G106" s="12" t="s">
        <v>276</v>
      </c>
      <c r="H106" s="12"/>
      <c r="I106" s="12"/>
      <c r="J106" s="2" t="s">
        <v>1</v>
      </c>
      <c r="K106" s="27">
        <v>25100</v>
      </c>
      <c r="L106" s="2" t="s">
        <v>52</v>
      </c>
      <c r="M106" s="4"/>
      <c r="N106" s="4"/>
      <c r="O106" s="4"/>
      <c r="P106" s="283"/>
      <c r="Q106" s="283"/>
      <c r="R106" s="283"/>
      <c r="S106" s="283"/>
      <c r="T106" s="283"/>
      <c r="U106" s="283"/>
      <c r="V106" s="283"/>
      <c r="W106" s="283"/>
      <c r="X106" s="2"/>
      <c r="Y106" s="2"/>
      <c r="Z106" s="490"/>
      <c r="AA106" s="60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s="6" customFormat="1" x14ac:dyDescent="0.25">
      <c r="A107" s="26"/>
      <c r="B107" s="26"/>
      <c r="C107" s="306"/>
      <c r="D107" s="84"/>
      <c r="E107" s="25" t="s">
        <v>13</v>
      </c>
      <c r="F107" s="25"/>
      <c r="G107" s="12" t="s">
        <v>383</v>
      </c>
      <c r="H107" s="12"/>
      <c r="I107" s="12"/>
      <c r="J107" s="17" t="s">
        <v>2</v>
      </c>
      <c r="K107" s="28">
        <v>2630</v>
      </c>
      <c r="L107" s="17" t="s">
        <v>52</v>
      </c>
      <c r="M107" s="11"/>
      <c r="N107" s="11"/>
      <c r="O107" s="11"/>
      <c r="P107" s="142"/>
      <c r="Q107" s="142"/>
      <c r="R107" s="142"/>
      <c r="S107" s="142"/>
      <c r="T107" s="142"/>
      <c r="U107" s="142"/>
      <c r="V107" s="142"/>
      <c r="W107" s="142"/>
      <c r="X107" s="17"/>
      <c r="Y107" s="17"/>
      <c r="Z107" s="491"/>
      <c r="AA107" s="532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</row>
    <row r="108" spans="1:46" s="6" customFormat="1" ht="13.8" thickBot="1" x14ac:dyDescent="0.3">
      <c r="A108" s="120"/>
      <c r="B108" s="120"/>
      <c r="C108" s="307"/>
      <c r="D108" s="89"/>
      <c r="E108" s="90" t="s">
        <v>16</v>
      </c>
      <c r="F108" s="90" t="s">
        <v>410</v>
      </c>
      <c r="G108" s="124" t="s">
        <v>596</v>
      </c>
      <c r="H108" s="124"/>
      <c r="I108" s="124"/>
      <c r="J108" s="41" t="s">
        <v>6</v>
      </c>
      <c r="K108" s="42">
        <f>K107+K106</f>
        <v>27730</v>
      </c>
      <c r="L108" s="41" t="s">
        <v>52</v>
      </c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1"/>
      <c r="Y108" s="41"/>
      <c r="Z108" s="492"/>
      <c r="AA108" s="533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</row>
    <row r="109" spans="1:46" s="8" customFormat="1" x14ac:dyDescent="0.25">
      <c r="A109" s="121"/>
      <c r="B109" s="121"/>
      <c r="C109" s="306"/>
      <c r="D109" s="57"/>
      <c r="E109" s="55"/>
      <c r="F109" s="55"/>
      <c r="G109" s="9" t="s">
        <v>7</v>
      </c>
      <c r="H109" s="9">
        <v>61771019</v>
      </c>
      <c r="I109" s="9">
        <v>591100</v>
      </c>
      <c r="J109" s="10" t="s">
        <v>1</v>
      </c>
      <c r="K109" s="31">
        <f>K106+K103+K100+K97+K94+K91</f>
        <v>1520600</v>
      </c>
      <c r="L109" s="7">
        <f>L103+L100+L97+L94+L91</f>
        <v>100000</v>
      </c>
      <c r="M109" s="7">
        <f>M100+M97+M94+M91</f>
        <v>75000</v>
      </c>
      <c r="N109" s="7">
        <f>N100+N97+N94</f>
        <v>50000</v>
      </c>
      <c r="O109" s="7">
        <f t="shared" ref="O109:W109" si="100">O100+O97+O94</f>
        <v>50000</v>
      </c>
      <c r="P109" s="7">
        <f t="shared" si="100"/>
        <v>50000</v>
      </c>
      <c r="Q109" s="7">
        <f t="shared" si="100"/>
        <v>50000</v>
      </c>
      <c r="R109" s="7">
        <f t="shared" si="100"/>
        <v>45000</v>
      </c>
      <c r="S109" s="7">
        <f t="shared" si="100"/>
        <v>45000</v>
      </c>
      <c r="T109" s="7">
        <f t="shared" si="100"/>
        <v>45000</v>
      </c>
      <c r="U109" s="7">
        <f t="shared" si="100"/>
        <v>45000</v>
      </c>
      <c r="V109" s="7">
        <f t="shared" si="100"/>
        <v>40000</v>
      </c>
      <c r="W109" s="7">
        <f t="shared" si="100"/>
        <v>40000</v>
      </c>
      <c r="X109" s="3" t="s">
        <v>11</v>
      </c>
      <c r="Y109" s="3"/>
      <c r="Z109" s="104"/>
      <c r="AA109" s="58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 s="8" customFormat="1" x14ac:dyDescent="0.25">
      <c r="A110" s="121"/>
      <c r="B110" s="121"/>
      <c r="C110" s="306"/>
      <c r="D110" s="10"/>
      <c r="E110" s="10"/>
      <c r="F110" s="10"/>
      <c r="G110" s="10"/>
      <c r="H110" s="9">
        <v>61771019</v>
      </c>
      <c r="I110" s="10">
        <v>595100</v>
      </c>
      <c r="J110" s="19" t="s">
        <v>2</v>
      </c>
      <c r="K110" s="32">
        <f>K107+K104+K101+K98+K95+K92</f>
        <v>491672.5</v>
      </c>
      <c r="L110" s="16">
        <f>L104+L101+L98+L95+L92</f>
        <v>25942.5</v>
      </c>
      <c r="M110" s="16">
        <f>M101+M98+M95+M92</f>
        <v>22342.5</v>
      </c>
      <c r="N110" s="16">
        <f>N101+N98+N95</f>
        <v>19567.5</v>
      </c>
      <c r="O110" s="16">
        <f t="shared" ref="O110:W110" si="101">O101+O98+O95</f>
        <v>17617.5</v>
      </c>
      <c r="P110" s="16">
        <f t="shared" si="101"/>
        <v>15617.5</v>
      </c>
      <c r="Q110" s="16">
        <f t="shared" si="101"/>
        <v>13617.5</v>
      </c>
      <c r="R110" s="16">
        <f t="shared" si="101"/>
        <v>11555</v>
      </c>
      <c r="S110" s="16">
        <f t="shared" si="101"/>
        <v>9642.5</v>
      </c>
      <c r="T110" s="16">
        <f t="shared" si="101"/>
        <v>7730</v>
      </c>
      <c r="U110" s="16">
        <f t="shared" si="101"/>
        <v>5705</v>
      </c>
      <c r="V110" s="16">
        <f t="shared" si="101"/>
        <v>3680</v>
      </c>
      <c r="W110" s="16">
        <f t="shared" si="101"/>
        <v>1840</v>
      </c>
      <c r="X110" s="20" t="s">
        <v>11</v>
      </c>
      <c r="Y110" s="20"/>
      <c r="Z110" s="493"/>
      <c r="AA110" s="63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</row>
    <row r="111" spans="1:46" s="8" customFormat="1" ht="13.8" thickBot="1" x14ac:dyDescent="0.3">
      <c r="A111" s="122"/>
      <c r="B111" s="122"/>
      <c r="C111" s="307"/>
      <c r="D111" s="91"/>
      <c r="E111" s="91"/>
      <c r="F111" s="91"/>
      <c r="G111" s="91"/>
      <c r="H111" s="91"/>
      <c r="I111" s="91"/>
      <c r="J111" s="52" t="s">
        <v>5</v>
      </c>
      <c r="K111" s="53">
        <f>K110+K109</f>
        <v>2012272.5</v>
      </c>
      <c r="L111" s="46">
        <f>L110+L109</f>
        <v>125942.5</v>
      </c>
      <c r="M111" s="46">
        <f t="shared" ref="M111:N111" si="102">M110+M109</f>
        <v>97342.5</v>
      </c>
      <c r="N111" s="46">
        <f t="shared" si="102"/>
        <v>69567.5</v>
      </c>
      <c r="O111" s="46">
        <f t="shared" ref="O111:W111" si="103">O110+O109</f>
        <v>67617.5</v>
      </c>
      <c r="P111" s="46">
        <f t="shared" si="103"/>
        <v>65617.5</v>
      </c>
      <c r="Q111" s="46">
        <f t="shared" si="103"/>
        <v>63617.5</v>
      </c>
      <c r="R111" s="46">
        <f t="shared" si="103"/>
        <v>56555</v>
      </c>
      <c r="S111" s="46">
        <f t="shared" si="103"/>
        <v>54642.5</v>
      </c>
      <c r="T111" s="46">
        <f t="shared" si="103"/>
        <v>52730</v>
      </c>
      <c r="U111" s="46">
        <f t="shared" si="103"/>
        <v>50705</v>
      </c>
      <c r="V111" s="46">
        <f t="shared" si="103"/>
        <v>43680</v>
      </c>
      <c r="W111" s="46">
        <f t="shared" si="103"/>
        <v>41840</v>
      </c>
      <c r="X111" s="47" t="s">
        <v>11</v>
      </c>
      <c r="Y111" s="47"/>
      <c r="Z111" s="494"/>
      <c r="AA111" s="65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</row>
    <row r="112" spans="1:46" s="3" customFormat="1" x14ac:dyDescent="0.25">
      <c r="A112" s="121"/>
      <c r="B112" s="121"/>
      <c r="C112" s="306"/>
      <c r="D112" s="104"/>
      <c r="E112" s="111"/>
      <c r="F112" s="111"/>
      <c r="G112" s="103" t="s">
        <v>522</v>
      </c>
      <c r="H112" s="103"/>
      <c r="I112" s="103"/>
      <c r="J112" s="104" t="s">
        <v>1</v>
      </c>
      <c r="K112" s="105">
        <f t="shared" ref="K112:M113" si="104">K109+K70+K88+K76</f>
        <v>16306000</v>
      </c>
      <c r="L112" s="67">
        <f t="shared" si="104"/>
        <v>830000</v>
      </c>
      <c r="M112" s="67">
        <f t="shared" si="104"/>
        <v>800000</v>
      </c>
      <c r="N112" s="67">
        <f t="shared" ref="N112:W112" si="105">N109+N70+N88+N76</f>
        <v>760000</v>
      </c>
      <c r="O112" s="67">
        <f t="shared" si="105"/>
        <v>760000</v>
      </c>
      <c r="P112" s="67">
        <f t="shared" si="105"/>
        <v>760000</v>
      </c>
      <c r="Q112" s="67">
        <f t="shared" si="105"/>
        <v>760000</v>
      </c>
      <c r="R112" s="67">
        <f t="shared" si="105"/>
        <v>745000</v>
      </c>
      <c r="S112" s="67">
        <f t="shared" si="105"/>
        <v>730000</v>
      </c>
      <c r="T112" s="67">
        <f t="shared" si="105"/>
        <v>730000</v>
      </c>
      <c r="U112" s="67">
        <f t="shared" si="105"/>
        <v>725000</v>
      </c>
      <c r="V112" s="67">
        <f t="shared" si="105"/>
        <v>705000</v>
      </c>
      <c r="W112" s="67">
        <f t="shared" si="105"/>
        <v>650000</v>
      </c>
      <c r="X112" s="3" t="s">
        <v>11</v>
      </c>
      <c r="Z112" s="104"/>
      <c r="AA112" s="58"/>
    </row>
    <row r="113" spans="1:46" s="3" customFormat="1" ht="13.8" thickBot="1" x14ac:dyDescent="0.3">
      <c r="A113" s="121"/>
      <c r="B113" s="121"/>
      <c r="C113" s="306"/>
      <c r="D113" s="104"/>
      <c r="E113" s="112"/>
      <c r="F113" s="112"/>
      <c r="G113" s="103"/>
      <c r="H113" s="103"/>
      <c r="I113" s="103"/>
      <c r="J113" s="106" t="s">
        <v>2</v>
      </c>
      <c r="K113" s="107">
        <f t="shared" si="104"/>
        <v>6506687.5</v>
      </c>
      <c r="L113" s="22">
        <f t="shared" si="104"/>
        <v>371762.5</v>
      </c>
      <c r="M113" s="22">
        <f t="shared" si="104"/>
        <v>341882.5</v>
      </c>
      <c r="N113" s="22">
        <f t="shared" ref="N113:V113" si="106">N110+N71+N89+N77</f>
        <v>312282.5</v>
      </c>
      <c r="O113" s="22">
        <f t="shared" si="106"/>
        <v>282642.5</v>
      </c>
      <c r="P113" s="22">
        <f t="shared" si="106"/>
        <v>252242.5</v>
      </c>
      <c r="Q113" s="22">
        <f t="shared" si="106"/>
        <v>221842.5</v>
      </c>
      <c r="R113" s="22">
        <f t="shared" si="106"/>
        <v>190492.5</v>
      </c>
      <c r="S113" s="22">
        <f t="shared" si="106"/>
        <v>158830</v>
      </c>
      <c r="T113" s="22">
        <f t="shared" si="106"/>
        <v>127805</v>
      </c>
      <c r="U113" s="22">
        <f t="shared" si="106"/>
        <v>94955</v>
      </c>
      <c r="V113" s="22">
        <f t="shared" si="106"/>
        <v>62330</v>
      </c>
      <c r="W113" s="22">
        <f>W110+W71+W89+W77</f>
        <v>29900</v>
      </c>
      <c r="X113" s="23" t="s">
        <v>11</v>
      </c>
      <c r="Y113" s="23"/>
      <c r="Z113" s="106"/>
      <c r="AA113" s="92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</row>
    <row r="114" spans="1:46" s="6" customFormat="1" ht="13.8" thickBot="1" x14ac:dyDescent="0.3">
      <c r="A114" s="26"/>
      <c r="B114" s="26"/>
      <c r="C114" s="310"/>
      <c r="D114" s="113"/>
      <c r="E114" s="114"/>
      <c r="F114" s="114"/>
      <c r="G114" s="288"/>
      <c r="H114" s="115"/>
      <c r="I114" s="115"/>
      <c r="J114" s="116" t="s">
        <v>5</v>
      </c>
      <c r="K114" s="117">
        <f>K113+K112</f>
        <v>22812687.5</v>
      </c>
      <c r="L114" s="73">
        <f>L113+L112</f>
        <v>1201762.5</v>
      </c>
      <c r="M114" s="73">
        <f t="shared" ref="M114:W114" si="107">SUM(M112:M113)</f>
        <v>1141882.5</v>
      </c>
      <c r="N114" s="73">
        <f t="shared" si="107"/>
        <v>1072282.5</v>
      </c>
      <c r="O114" s="73">
        <f t="shared" si="107"/>
        <v>1042642.5</v>
      </c>
      <c r="P114" s="73">
        <f t="shared" si="107"/>
        <v>1012242.5</v>
      </c>
      <c r="Q114" s="73">
        <f t="shared" si="107"/>
        <v>981842.5</v>
      </c>
      <c r="R114" s="73">
        <f t="shared" si="107"/>
        <v>935492.5</v>
      </c>
      <c r="S114" s="73">
        <f t="shared" si="107"/>
        <v>888830</v>
      </c>
      <c r="T114" s="73">
        <f t="shared" si="107"/>
        <v>857805</v>
      </c>
      <c r="U114" s="73">
        <f t="shared" si="107"/>
        <v>819955</v>
      </c>
      <c r="V114" s="73">
        <f t="shared" si="107"/>
        <v>767330</v>
      </c>
      <c r="W114" s="73">
        <f t="shared" si="107"/>
        <v>679900</v>
      </c>
      <c r="X114" s="486" t="s">
        <v>11</v>
      </c>
      <c r="Y114" s="74"/>
      <c r="Z114" s="496"/>
      <c r="AA114" s="535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</row>
    <row r="115" spans="1:46" s="2" customFormat="1" ht="13.8" thickTop="1" x14ac:dyDescent="0.25">
      <c r="A115" s="123"/>
      <c r="B115" s="123"/>
      <c r="C115" s="308"/>
      <c r="D115" s="49"/>
      <c r="E115" s="49"/>
      <c r="F115" s="49"/>
      <c r="G115" s="128" t="s">
        <v>53</v>
      </c>
      <c r="H115" s="128"/>
      <c r="I115" s="128"/>
      <c r="J115" s="48"/>
      <c r="K115" s="96"/>
      <c r="L115" s="97"/>
      <c r="M115" s="97"/>
      <c r="N115" s="97"/>
      <c r="O115" s="97"/>
      <c r="P115" s="98"/>
      <c r="Q115" s="98"/>
      <c r="R115" s="98"/>
      <c r="S115" s="98"/>
      <c r="T115" s="9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</row>
    <row r="116" spans="1:46" s="2" customFormat="1" x14ac:dyDescent="0.25">
      <c r="A116" s="26" t="s">
        <v>104</v>
      </c>
      <c r="B116" s="26" t="s">
        <v>97</v>
      </c>
      <c r="C116" s="306"/>
      <c r="D116" s="75" t="s">
        <v>44</v>
      </c>
      <c r="E116" s="76">
        <v>37848</v>
      </c>
      <c r="F116" s="76" t="s">
        <v>282</v>
      </c>
      <c r="G116" s="321" t="s">
        <v>231</v>
      </c>
      <c r="H116" s="321"/>
      <c r="I116" s="321"/>
      <c r="J116" s="2" t="s">
        <v>1</v>
      </c>
      <c r="K116" s="27">
        <v>1200000</v>
      </c>
      <c r="L116" s="4">
        <v>60000</v>
      </c>
      <c r="M116" s="4">
        <v>60000</v>
      </c>
      <c r="N116" s="4">
        <v>60000</v>
      </c>
      <c r="O116" s="4">
        <v>60000</v>
      </c>
      <c r="P116" s="4">
        <v>60000</v>
      </c>
      <c r="Q116" s="4">
        <v>60000</v>
      </c>
      <c r="R116" s="4">
        <v>60000</v>
      </c>
      <c r="S116" s="4">
        <v>60000</v>
      </c>
      <c r="T116" s="4">
        <v>60000</v>
      </c>
      <c r="U116" s="4">
        <v>60000</v>
      </c>
      <c r="V116" s="4">
        <v>60000</v>
      </c>
      <c r="W116" s="4">
        <v>60000</v>
      </c>
      <c r="X116" s="4">
        <v>60000</v>
      </c>
      <c r="Y116" s="2" t="s">
        <v>11</v>
      </c>
      <c r="Z116" s="490"/>
      <c r="AA116" s="60"/>
    </row>
    <row r="117" spans="1:46" s="2" customFormat="1" x14ac:dyDescent="0.25">
      <c r="A117" s="400"/>
      <c r="B117" s="26"/>
      <c r="C117" s="306"/>
      <c r="D117" s="75"/>
      <c r="E117" s="317" t="s">
        <v>13</v>
      </c>
      <c r="F117" s="76"/>
      <c r="G117" s="79" t="s">
        <v>216</v>
      </c>
      <c r="H117" s="79"/>
      <c r="I117" s="79"/>
      <c r="J117" s="17" t="s">
        <v>2</v>
      </c>
      <c r="K117" s="28">
        <v>576540</v>
      </c>
      <c r="L117" s="11">
        <v>34995</v>
      </c>
      <c r="M117" s="11">
        <v>32445</v>
      </c>
      <c r="N117" s="11">
        <f>15585+14235</f>
        <v>29820</v>
      </c>
      <c r="O117" s="11">
        <f>14235+12975</f>
        <v>27210</v>
      </c>
      <c r="P117" s="11">
        <f>12975+11625</f>
        <v>24600</v>
      </c>
      <c r="Q117" s="142">
        <f>11625+10275</f>
        <v>21900</v>
      </c>
      <c r="R117" s="142">
        <f>10275+8925</f>
        <v>19200</v>
      </c>
      <c r="S117" s="142">
        <f>8925+7425</f>
        <v>16350</v>
      </c>
      <c r="T117" s="142">
        <f>7425+5925</f>
        <v>13350</v>
      </c>
      <c r="U117" s="142">
        <f>5925+4500</f>
        <v>10425</v>
      </c>
      <c r="V117" s="142">
        <f>4500+3000</f>
        <v>7500</v>
      </c>
      <c r="W117" s="142">
        <f>3000+1500</f>
        <v>4500</v>
      </c>
      <c r="X117" s="142">
        <v>1500</v>
      </c>
      <c r="Y117" s="17" t="s">
        <v>11</v>
      </c>
      <c r="Z117" s="491"/>
      <c r="AA117" s="532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</row>
    <row r="118" spans="1:46" s="6" customFormat="1" ht="13.8" thickBot="1" x14ac:dyDescent="0.3">
      <c r="A118" s="409"/>
      <c r="B118" s="120"/>
      <c r="C118" s="307"/>
      <c r="D118" s="94"/>
      <c r="E118" s="95" t="s">
        <v>46</v>
      </c>
      <c r="F118" s="95" t="s">
        <v>411</v>
      </c>
      <c r="G118" s="127" t="s">
        <v>597</v>
      </c>
      <c r="H118" s="127"/>
      <c r="I118" s="127"/>
      <c r="J118" s="41" t="s">
        <v>6</v>
      </c>
      <c r="K118" s="42">
        <f>K117+K116</f>
        <v>1776540</v>
      </c>
      <c r="L118" s="43">
        <f>L117+L116</f>
        <v>94995</v>
      </c>
      <c r="M118" s="43">
        <f t="shared" ref="M118:X118" si="108">M117+M116</f>
        <v>92445</v>
      </c>
      <c r="N118" s="43">
        <f t="shared" si="108"/>
        <v>89820</v>
      </c>
      <c r="O118" s="43">
        <f t="shared" si="108"/>
        <v>87210</v>
      </c>
      <c r="P118" s="43">
        <f t="shared" si="108"/>
        <v>84600</v>
      </c>
      <c r="Q118" s="43">
        <f t="shared" si="108"/>
        <v>81900</v>
      </c>
      <c r="R118" s="43">
        <f t="shared" si="108"/>
        <v>79200</v>
      </c>
      <c r="S118" s="43">
        <f t="shared" si="108"/>
        <v>76350</v>
      </c>
      <c r="T118" s="43">
        <f t="shared" si="108"/>
        <v>73350</v>
      </c>
      <c r="U118" s="43">
        <f t="shared" si="108"/>
        <v>70425</v>
      </c>
      <c r="V118" s="43">
        <f t="shared" si="108"/>
        <v>67500</v>
      </c>
      <c r="W118" s="43">
        <f t="shared" si="108"/>
        <v>64500</v>
      </c>
      <c r="X118" s="43">
        <f t="shared" si="108"/>
        <v>61500</v>
      </c>
      <c r="Y118" s="41" t="s">
        <v>11</v>
      </c>
      <c r="Z118" s="492"/>
      <c r="AA118" s="533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</row>
    <row r="119" spans="1:46" s="2" customFormat="1" x14ac:dyDescent="0.25">
      <c r="A119" s="26"/>
      <c r="B119" s="26" t="s">
        <v>97</v>
      </c>
      <c r="C119" s="306"/>
      <c r="D119" s="75" t="s">
        <v>44</v>
      </c>
      <c r="E119" s="76">
        <v>37848</v>
      </c>
      <c r="F119" s="76" t="s">
        <v>283</v>
      </c>
      <c r="G119" s="79" t="s">
        <v>56</v>
      </c>
      <c r="H119" s="79"/>
      <c r="I119" s="79"/>
      <c r="J119" s="2" t="s">
        <v>1</v>
      </c>
      <c r="K119" s="27">
        <v>1140789.58</v>
      </c>
      <c r="L119" s="2" t="s">
        <v>57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Z119" s="490"/>
      <c r="AA119" s="60"/>
    </row>
    <row r="120" spans="1:46" s="2" customFormat="1" x14ac:dyDescent="0.25">
      <c r="A120" s="26"/>
      <c r="B120" s="26"/>
      <c r="C120" s="306"/>
      <c r="D120" s="75"/>
      <c r="E120" s="76" t="s">
        <v>13</v>
      </c>
      <c r="F120" s="76"/>
      <c r="G120" s="79"/>
      <c r="H120" s="79"/>
      <c r="I120" s="79"/>
      <c r="J120" s="17" t="s">
        <v>2</v>
      </c>
      <c r="K120" s="28">
        <v>105267.46</v>
      </c>
      <c r="L120" s="17" t="s">
        <v>57</v>
      </c>
      <c r="M120" s="11"/>
      <c r="N120" s="11"/>
      <c r="O120" s="11"/>
      <c r="P120" s="142"/>
      <c r="Q120" s="142"/>
      <c r="R120" s="142"/>
      <c r="S120" s="142"/>
      <c r="T120" s="142"/>
      <c r="U120" s="142"/>
      <c r="V120" s="142"/>
      <c r="W120" s="142"/>
      <c r="X120" s="142"/>
      <c r="Y120" s="17"/>
      <c r="Z120" s="491"/>
      <c r="AA120" s="532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</row>
    <row r="121" spans="1:46" s="6" customFormat="1" ht="13.8" thickBot="1" x14ac:dyDescent="0.3">
      <c r="A121" s="120"/>
      <c r="B121" s="120"/>
      <c r="C121" s="307"/>
      <c r="D121" s="94"/>
      <c r="E121" s="95" t="s">
        <v>46</v>
      </c>
      <c r="F121" s="95" t="s">
        <v>411</v>
      </c>
      <c r="G121" s="127"/>
      <c r="H121" s="127"/>
      <c r="I121" s="127"/>
      <c r="J121" s="41" t="s">
        <v>6</v>
      </c>
      <c r="K121" s="42">
        <f>K120+K119</f>
        <v>1246057.04</v>
      </c>
      <c r="L121" s="41" t="s">
        <v>57</v>
      </c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1"/>
      <c r="Z121" s="492"/>
      <c r="AA121" s="533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</row>
    <row r="122" spans="1:46" s="2" customFormat="1" x14ac:dyDescent="0.25">
      <c r="A122" s="26"/>
      <c r="B122" s="26"/>
      <c r="C122" s="306"/>
      <c r="D122" s="75"/>
      <c r="E122" s="76"/>
      <c r="F122" s="76"/>
      <c r="G122" s="77" t="s">
        <v>45</v>
      </c>
      <c r="H122" s="77">
        <v>62771219</v>
      </c>
      <c r="I122" s="77">
        <v>591100</v>
      </c>
      <c r="J122" s="75" t="s">
        <v>1</v>
      </c>
      <c r="K122" s="78">
        <f>K119+K116</f>
        <v>2340789.58</v>
      </c>
      <c r="L122" s="7">
        <f>L116</f>
        <v>60000</v>
      </c>
      <c r="M122" s="7">
        <f>M116</f>
        <v>60000</v>
      </c>
      <c r="N122" s="7">
        <f t="shared" ref="N122:X122" si="109">N116</f>
        <v>60000</v>
      </c>
      <c r="O122" s="7">
        <f t="shared" si="109"/>
        <v>60000</v>
      </c>
      <c r="P122" s="7">
        <f t="shared" si="109"/>
        <v>60000</v>
      </c>
      <c r="Q122" s="7">
        <f t="shared" si="109"/>
        <v>60000</v>
      </c>
      <c r="R122" s="7">
        <f t="shared" si="109"/>
        <v>60000</v>
      </c>
      <c r="S122" s="7">
        <f t="shared" si="109"/>
        <v>60000</v>
      </c>
      <c r="T122" s="7">
        <f t="shared" si="109"/>
        <v>60000</v>
      </c>
      <c r="U122" s="7">
        <f t="shared" si="109"/>
        <v>60000</v>
      </c>
      <c r="V122" s="7">
        <f t="shared" si="109"/>
        <v>60000</v>
      </c>
      <c r="W122" s="7">
        <f t="shared" si="109"/>
        <v>60000</v>
      </c>
      <c r="X122" s="7">
        <f t="shared" si="109"/>
        <v>60000</v>
      </c>
      <c r="Y122" s="40" t="s">
        <v>11</v>
      </c>
      <c r="Z122" s="490"/>
      <c r="AA122" s="60"/>
      <c r="AD122" s="40"/>
      <c r="AI122" s="40"/>
      <c r="AN122" s="40"/>
    </row>
    <row r="123" spans="1:46" s="2" customFormat="1" x14ac:dyDescent="0.25">
      <c r="A123" s="26"/>
      <c r="B123" s="26"/>
      <c r="C123" s="306"/>
      <c r="D123" s="75"/>
      <c r="E123" s="76"/>
      <c r="F123" s="76"/>
      <c r="G123" s="79"/>
      <c r="H123" s="77">
        <v>62771219</v>
      </c>
      <c r="I123" s="154">
        <v>595100</v>
      </c>
      <c r="J123" s="80" t="s">
        <v>2</v>
      </c>
      <c r="K123" s="81">
        <f>K120+K117</f>
        <v>681807.46</v>
      </c>
      <c r="L123" s="16">
        <f>L117</f>
        <v>34995</v>
      </c>
      <c r="M123" s="16">
        <f>M117</f>
        <v>32445</v>
      </c>
      <c r="N123" s="16">
        <f t="shared" ref="N123:X123" si="110">N117</f>
        <v>29820</v>
      </c>
      <c r="O123" s="16">
        <f t="shared" si="110"/>
        <v>27210</v>
      </c>
      <c r="P123" s="16">
        <f t="shared" si="110"/>
        <v>24600</v>
      </c>
      <c r="Q123" s="16">
        <f t="shared" si="110"/>
        <v>21900</v>
      </c>
      <c r="R123" s="16">
        <f t="shared" si="110"/>
        <v>19200</v>
      </c>
      <c r="S123" s="16">
        <f t="shared" si="110"/>
        <v>16350</v>
      </c>
      <c r="T123" s="16">
        <f t="shared" si="110"/>
        <v>13350</v>
      </c>
      <c r="U123" s="16">
        <f t="shared" si="110"/>
        <v>10425</v>
      </c>
      <c r="V123" s="16">
        <f t="shared" si="110"/>
        <v>7500</v>
      </c>
      <c r="W123" s="16">
        <f t="shared" si="110"/>
        <v>4500</v>
      </c>
      <c r="X123" s="16">
        <f t="shared" si="110"/>
        <v>1500</v>
      </c>
      <c r="Y123" s="56" t="s">
        <v>11</v>
      </c>
      <c r="Z123" s="491"/>
      <c r="AA123" s="532"/>
      <c r="AB123" s="17"/>
      <c r="AC123" s="17"/>
      <c r="AD123" s="56"/>
      <c r="AE123" s="17"/>
      <c r="AF123" s="17"/>
      <c r="AG123" s="17"/>
      <c r="AH123" s="17"/>
      <c r="AI123" s="56"/>
      <c r="AJ123" s="17"/>
      <c r="AK123" s="17"/>
      <c r="AL123" s="17"/>
      <c r="AM123" s="17"/>
      <c r="AN123" s="56"/>
      <c r="AO123" s="17"/>
      <c r="AP123" s="17"/>
      <c r="AQ123" s="17"/>
      <c r="AR123" s="17"/>
      <c r="AS123" s="17"/>
      <c r="AT123" s="17"/>
    </row>
    <row r="124" spans="1:46" s="8" customFormat="1" ht="13.8" thickBot="1" x14ac:dyDescent="0.3">
      <c r="A124" s="122"/>
      <c r="B124" s="122"/>
      <c r="C124" s="307"/>
      <c r="D124" s="94"/>
      <c r="E124" s="94"/>
      <c r="F124" s="94"/>
      <c r="G124" s="94"/>
      <c r="H124" s="94"/>
      <c r="I124" s="94"/>
      <c r="J124" s="82" t="s">
        <v>5</v>
      </c>
      <c r="K124" s="83">
        <f>K123+K122</f>
        <v>3022597.04</v>
      </c>
      <c r="L124" s="46">
        <f>L123+L122</f>
        <v>94995</v>
      </c>
      <c r="M124" s="46">
        <f t="shared" ref="M124:X124" si="111">M123+M122</f>
        <v>92445</v>
      </c>
      <c r="N124" s="46">
        <f t="shared" si="111"/>
        <v>89820</v>
      </c>
      <c r="O124" s="46">
        <f t="shared" si="111"/>
        <v>87210</v>
      </c>
      <c r="P124" s="46">
        <f t="shared" si="111"/>
        <v>84600</v>
      </c>
      <c r="Q124" s="46">
        <f t="shared" si="111"/>
        <v>81900</v>
      </c>
      <c r="R124" s="46">
        <f t="shared" si="111"/>
        <v>79200</v>
      </c>
      <c r="S124" s="46">
        <f t="shared" si="111"/>
        <v>76350</v>
      </c>
      <c r="T124" s="46">
        <f t="shared" si="111"/>
        <v>73350</v>
      </c>
      <c r="U124" s="46">
        <f t="shared" si="111"/>
        <v>70425</v>
      </c>
      <c r="V124" s="46">
        <f t="shared" si="111"/>
        <v>67500</v>
      </c>
      <c r="W124" s="46">
        <f t="shared" si="111"/>
        <v>64500</v>
      </c>
      <c r="X124" s="46">
        <f t="shared" si="111"/>
        <v>61500</v>
      </c>
      <c r="Y124" s="47" t="s">
        <v>11</v>
      </c>
      <c r="Z124" s="494"/>
      <c r="AA124" s="65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</row>
    <row r="125" spans="1:46" s="2" customFormat="1" x14ac:dyDescent="0.25">
      <c r="A125" s="26"/>
      <c r="B125" s="26" t="s">
        <v>96</v>
      </c>
      <c r="C125" s="306"/>
      <c r="D125" s="33" t="s">
        <v>3</v>
      </c>
      <c r="E125" s="34">
        <v>37848</v>
      </c>
      <c r="F125" s="34" t="s">
        <v>283</v>
      </c>
      <c r="G125" s="35" t="s">
        <v>47</v>
      </c>
      <c r="H125" s="35"/>
      <c r="I125" s="35"/>
      <c r="J125" s="2" t="s">
        <v>1</v>
      </c>
      <c r="K125" s="27">
        <v>126841.55</v>
      </c>
      <c r="L125" s="4">
        <v>8800</v>
      </c>
      <c r="M125" s="4">
        <v>8800</v>
      </c>
      <c r="N125" s="4">
        <v>8800</v>
      </c>
      <c r="O125" s="2" t="s">
        <v>11</v>
      </c>
      <c r="P125" s="283"/>
      <c r="Q125" s="283"/>
      <c r="R125" s="283"/>
      <c r="S125" s="283"/>
      <c r="T125" s="283"/>
      <c r="Z125" s="490"/>
      <c r="AA125" s="60"/>
    </row>
    <row r="126" spans="1:46" s="2" customFormat="1" x14ac:dyDescent="0.25">
      <c r="A126" s="26"/>
      <c r="B126" s="26"/>
      <c r="C126" s="306"/>
      <c r="D126" s="33"/>
      <c r="E126" s="34" t="s">
        <v>12</v>
      </c>
      <c r="F126" s="34"/>
      <c r="G126" s="35"/>
      <c r="H126" s="35"/>
      <c r="I126" s="35"/>
      <c r="J126" s="17" t="s">
        <v>2</v>
      </c>
      <c r="K126" s="28">
        <v>22229.01</v>
      </c>
      <c r="L126" s="11">
        <v>902</v>
      </c>
      <c r="M126" s="11">
        <v>550</v>
      </c>
      <c r="N126" s="11">
        <v>187</v>
      </c>
      <c r="O126" s="17" t="s">
        <v>11</v>
      </c>
      <c r="P126" s="142"/>
      <c r="Q126" s="142"/>
      <c r="R126" s="142"/>
      <c r="S126" s="142"/>
      <c r="T126" s="142"/>
      <c r="U126" s="17"/>
      <c r="V126" s="17"/>
      <c r="W126" s="17"/>
      <c r="X126" s="17"/>
      <c r="Y126" s="17"/>
      <c r="Z126" s="491"/>
      <c r="AA126" s="532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</row>
    <row r="127" spans="1:46" s="6" customFormat="1" ht="13.8" thickBot="1" x14ac:dyDescent="0.3">
      <c r="A127" s="120"/>
      <c r="B127" s="120"/>
      <c r="C127" s="307"/>
      <c r="D127" s="85"/>
      <c r="E127" s="86" t="s">
        <v>161</v>
      </c>
      <c r="F127" s="86" t="s">
        <v>410</v>
      </c>
      <c r="G127" s="125"/>
      <c r="H127" s="125"/>
      <c r="I127" s="125"/>
      <c r="J127" s="41" t="s">
        <v>6</v>
      </c>
      <c r="K127" s="42">
        <f>K126+K125</f>
        <v>149070.56</v>
      </c>
      <c r="L127" s="43">
        <f>L126+L125</f>
        <v>9702</v>
      </c>
      <c r="M127" s="43">
        <f t="shared" ref="M127:N127" si="112">M126+M125</f>
        <v>9350</v>
      </c>
      <c r="N127" s="43">
        <f t="shared" si="112"/>
        <v>8987</v>
      </c>
      <c r="O127" s="41" t="s">
        <v>11</v>
      </c>
      <c r="P127" s="43"/>
      <c r="Q127" s="43"/>
      <c r="R127" s="43"/>
      <c r="S127" s="43"/>
      <c r="T127" s="43"/>
      <c r="U127" s="41"/>
      <c r="V127" s="41"/>
      <c r="W127" s="41"/>
      <c r="X127" s="41"/>
      <c r="Y127" s="41"/>
      <c r="Z127" s="492"/>
      <c r="AA127" s="533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</row>
    <row r="128" spans="1:46" s="2" customFormat="1" x14ac:dyDescent="0.25">
      <c r="A128" s="26"/>
      <c r="B128" s="26" t="s">
        <v>96</v>
      </c>
      <c r="C128" s="306"/>
      <c r="D128" s="33" t="s">
        <v>3</v>
      </c>
      <c r="E128" s="34">
        <v>37848</v>
      </c>
      <c r="F128" s="34" t="s">
        <v>283</v>
      </c>
      <c r="G128" s="35" t="s">
        <v>48</v>
      </c>
      <c r="H128" s="35"/>
      <c r="I128" s="35"/>
      <c r="J128" s="2" t="s">
        <v>1</v>
      </c>
      <c r="K128" s="27">
        <v>471527.85</v>
      </c>
      <c r="L128" s="4">
        <v>39600</v>
      </c>
      <c r="M128" s="4">
        <v>39600</v>
      </c>
      <c r="N128" s="4">
        <v>39600</v>
      </c>
      <c r="O128" s="2" t="s">
        <v>11</v>
      </c>
      <c r="P128" s="283"/>
      <c r="Q128" s="283"/>
      <c r="R128" s="283"/>
      <c r="S128" s="283"/>
      <c r="T128" s="283"/>
      <c r="Z128" s="490"/>
      <c r="AA128" s="60"/>
    </row>
    <row r="129" spans="1:46" s="2" customFormat="1" x14ac:dyDescent="0.25">
      <c r="A129" s="26"/>
      <c r="B129" s="26"/>
      <c r="C129" s="306"/>
      <c r="D129" s="33"/>
      <c r="E129" s="34" t="s">
        <v>12</v>
      </c>
      <c r="F129" s="34"/>
      <c r="G129" s="35"/>
      <c r="H129" s="35"/>
      <c r="I129" s="35"/>
      <c r="J129" s="17" t="s">
        <v>2</v>
      </c>
      <c r="K129" s="28">
        <v>91185.36</v>
      </c>
      <c r="L129" s="11">
        <v>4059</v>
      </c>
      <c r="M129" s="11">
        <v>2475</v>
      </c>
      <c r="N129" s="11">
        <v>841.5</v>
      </c>
      <c r="O129" s="17" t="s">
        <v>11</v>
      </c>
      <c r="P129" s="142"/>
      <c r="Q129" s="142"/>
      <c r="R129" s="142"/>
      <c r="S129" s="142"/>
      <c r="T129" s="142"/>
      <c r="U129" s="17"/>
      <c r="V129" s="17"/>
      <c r="W129" s="17"/>
      <c r="X129" s="17"/>
      <c r="Y129" s="17"/>
      <c r="Z129" s="491"/>
      <c r="AA129" s="532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</row>
    <row r="130" spans="1:46" s="6" customFormat="1" ht="13.8" thickBot="1" x14ac:dyDescent="0.3">
      <c r="A130" s="120"/>
      <c r="B130" s="120"/>
      <c r="C130" s="307"/>
      <c r="D130" s="85"/>
      <c r="E130" s="86" t="s">
        <v>14</v>
      </c>
      <c r="F130" s="86" t="s">
        <v>410</v>
      </c>
      <c r="G130" s="125"/>
      <c r="H130" s="125"/>
      <c r="I130" s="125"/>
      <c r="J130" s="41" t="s">
        <v>6</v>
      </c>
      <c r="K130" s="42">
        <f>K129+K128</f>
        <v>562713.21</v>
      </c>
      <c r="L130" s="43">
        <f>L129+L128</f>
        <v>43659</v>
      </c>
      <c r="M130" s="43">
        <f>M129+M128</f>
        <v>42075</v>
      </c>
      <c r="N130" s="43">
        <f>N129+N128</f>
        <v>40441.5</v>
      </c>
      <c r="O130" s="41" t="s">
        <v>11</v>
      </c>
      <c r="P130" s="43"/>
      <c r="Q130" s="43"/>
      <c r="R130" s="43"/>
      <c r="S130" s="43"/>
      <c r="T130" s="43"/>
      <c r="U130" s="41"/>
      <c r="V130" s="41"/>
      <c r="W130" s="41"/>
      <c r="X130" s="41"/>
      <c r="Y130" s="41"/>
      <c r="Z130" s="492"/>
      <c r="AA130" s="533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</row>
    <row r="131" spans="1:46" s="2" customFormat="1" x14ac:dyDescent="0.25">
      <c r="A131" s="26"/>
      <c r="B131" s="26" t="s">
        <v>97</v>
      </c>
      <c r="C131" s="306"/>
      <c r="D131" s="33" t="s">
        <v>3</v>
      </c>
      <c r="E131" s="34">
        <v>37848</v>
      </c>
      <c r="F131" s="34" t="s">
        <v>283</v>
      </c>
      <c r="G131" s="35" t="s">
        <v>49</v>
      </c>
      <c r="H131" s="35"/>
      <c r="I131" s="35"/>
      <c r="J131" s="2" t="s">
        <v>1</v>
      </c>
      <c r="K131" s="27">
        <v>60431.53</v>
      </c>
      <c r="L131" s="4">
        <v>4400</v>
      </c>
      <c r="M131" s="4">
        <v>4400</v>
      </c>
      <c r="N131" s="4">
        <v>4400</v>
      </c>
      <c r="O131" s="2" t="s">
        <v>11</v>
      </c>
      <c r="P131" s="283"/>
      <c r="Q131" s="283"/>
      <c r="R131" s="283"/>
      <c r="S131" s="283"/>
      <c r="T131" s="283"/>
      <c r="Z131" s="490"/>
      <c r="AA131" s="60"/>
    </row>
    <row r="132" spans="1:46" s="2" customFormat="1" x14ac:dyDescent="0.25">
      <c r="A132" s="26"/>
      <c r="B132" s="26"/>
      <c r="C132" s="306"/>
      <c r="D132" s="33"/>
      <c r="E132" s="34" t="s">
        <v>13</v>
      </c>
      <c r="F132" s="34"/>
      <c r="G132" s="35"/>
      <c r="H132" s="35"/>
      <c r="I132" s="35"/>
      <c r="J132" s="17" t="s">
        <v>2</v>
      </c>
      <c r="K132" s="28">
        <v>10304.99</v>
      </c>
      <c r="L132" s="11">
        <v>451</v>
      </c>
      <c r="M132" s="11">
        <v>275</v>
      </c>
      <c r="N132" s="11">
        <v>93.5</v>
      </c>
      <c r="O132" s="17" t="s">
        <v>11</v>
      </c>
      <c r="P132" s="142"/>
      <c r="Q132" s="142"/>
      <c r="R132" s="142"/>
      <c r="S132" s="142"/>
      <c r="T132" s="142"/>
      <c r="U132" s="17"/>
      <c r="V132" s="17"/>
      <c r="W132" s="17"/>
      <c r="X132" s="17"/>
      <c r="Y132" s="17"/>
      <c r="Z132" s="491"/>
      <c r="AA132" s="532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</row>
    <row r="133" spans="1:46" s="6" customFormat="1" ht="13.8" thickBot="1" x14ac:dyDescent="0.3">
      <c r="A133" s="120"/>
      <c r="B133" s="120"/>
      <c r="C133" s="307"/>
      <c r="D133" s="85"/>
      <c r="E133" s="86" t="s">
        <v>16</v>
      </c>
      <c r="F133" s="86" t="s">
        <v>410</v>
      </c>
      <c r="G133" s="125"/>
      <c r="H133" s="125"/>
      <c r="I133" s="125"/>
      <c r="J133" s="41" t="s">
        <v>6</v>
      </c>
      <c r="K133" s="42">
        <f>K132+K131</f>
        <v>70736.52</v>
      </c>
      <c r="L133" s="43">
        <f>L132+L131</f>
        <v>4851</v>
      </c>
      <c r="M133" s="43">
        <f t="shared" ref="M133:N133" si="113">M132+M131</f>
        <v>4675</v>
      </c>
      <c r="N133" s="43">
        <f t="shared" si="113"/>
        <v>4493.5</v>
      </c>
      <c r="O133" s="41" t="s">
        <v>11</v>
      </c>
      <c r="P133" s="43"/>
      <c r="Q133" s="43"/>
      <c r="R133" s="43"/>
      <c r="S133" s="43"/>
      <c r="T133" s="43"/>
      <c r="U133" s="41"/>
      <c r="V133" s="41"/>
      <c r="W133" s="41"/>
      <c r="X133" s="41"/>
      <c r="Y133" s="41"/>
      <c r="Z133" s="492"/>
      <c r="AA133" s="533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</row>
    <row r="134" spans="1:46" s="2" customFormat="1" x14ac:dyDescent="0.25">
      <c r="A134" s="26"/>
      <c r="B134" s="26" t="s">
        <v>97</v>
      </c>
      <c r="C134" s="306"/>
      <c r="D134" s="33" t="s">
        <v>3</v>
      </c>
      <c r="E134" s="34">
        <v>37848</v>
      </c>
      <c r="F134" s="34" t="s">
        <v>283</v>
      </c>
      <c r="G134" s="35" t="s">
        <v>50</v>
      </c>
      <c r="H134" s="35"/>
      <c r="I134" s="35"/>
      <c r="J134" s="2" t="s">
        <v>1</v>
      </c>
      <c r="K134" s="27">
        <v>343812.32</v>
      </c>
      <c r="L134" s="4">
        <v>30800</v>
      </c>
      <c r="M134" s="4">
        <v>30800</v>
      </c>
      <c r="N134" s="4">
        <v>30800</v>
      </c>
      <c r="O134" s="2" t="s">
        <v>11</v>
      </c>
      <c r="P134" s="283"/>
      <c r="Q134" s="283"/>
      <c r="R134" s="283"/>
      <c r="S134" s="283"/>
      <c r="T134" s="283"/>
      <c r="U134" s="283"/>
      <c r="Z134" s="490"/>
      <c r="AA134" s="60"/>
    </row>
    <row r="135" spans="1:46" s="2" customFormat="1" x14ac:dyDescent="0.25">
      <c r="A135" s="26"/>
      <c r="B135" s="26"/>
      <c r="C135" s="306"/>
      <c r="D135" s="33"/>
      <c r="E135" s="34" t="s">
        <v>13</v>
      </c>
      <c r="F135" s="34"/>
      <c r="G135" s="35"/>
      <c r="H135" s="35"/>
      <c r="I135" s="35"/>
      <c r="J135" s="17" t="s">
        <v>2</v>
      </c>
      <c r="K135" s="28">
        <v>69000.75</v>
      </c>
      <c r="L135" s="11">
        <v>3157</v>
      </c>
      <c r="M135" s="11">
        <v>1925</v>
      </c>
      <c r="N135" s="11">
        <v>654.5</v>
      </c>
      <c r="O135" s="17" t="s">
        <v>11</v>
      </c>
      <c r="P135" s="142"/>
      <c r="Q135" s="142"/>
      <c r="R135" s="142"/>
      <c r="S135" s="142"/>
      <c r="T135" s="142"/>
      <c r="U135" s="142"/>
      <c r="V135" s="17"/>
      <c r="W135" s="17"/>
      <c r="X135" s="17"/>
      <c r="Y135" s="17"/>
      <c r="Z135" s="491"/>
      <c r="AA135" s="532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</row>
    <row r="136" spans="1:46" s="6" customFormat="1" ht="13.8" thickBot="1" x14ac:dyDescent="0.3">
      <c r="A136" s="120"/>
      <c r="B136" s="120"/>
      <c r="C136" s="307"/>
      <c r="D136" s="85"/>
      <c r="E136" s="86" t="s">
        <v>16</v>
      </c>
      <c r="F136" s="86" t="s">
        <v>410</v>
      </c>
      <c r="G136" s="125"/>
      <c r="H136" s="125"/>
      <c r="I136" s="125"/>
      <c r="J136" s="41" t="s">
        <v>6</v>
      </c>
      <c r="K136" s="42">
        <f>K135+K134</f>
        <v>412813.07</v>
      </c>
      <c r="L136" s="43">
        <f>L135+L134</f>
        <v>33957</v>
      </c>
      <c r="M136" s="43">
        <f t="shared" ref="M136:N136" si="114">M135+M134</f>
        <v>32725</v>
      </c>
      <c r="N136" s="43">
        <f t="shared" si="114"/>
        <v>31454.5</v>
      </c>
      <c r="O136" s="41" t="s">
        <v>11</v>
      </c>
      <c r="P136" s="43"/>
      <c r="Q136" s="43"/>
      <c r="R136" s="43"/>
      <c r="S136" s="43"/>
      <c r="T136" s="43"/>
      <c r="U136" s="43"/>
      <c r="V136" s="41"/>
      <c r="W136" s="41"/>
      <c r="X136" s="41"/>
      <c r="Y136" s="41"/>
      <c r="Z136" s="492"/>
      <c r="AA136" s="533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</row>
    <row r="137" spans="1:46" s="2" customFormat="1" x14ac:dyDescent="0.25">
      <c r="A137" s="26"/>
      <c r="B137" s="26" t="s">
        <v>97</v>
      </c>
      <c r="C137" s="306"/>
      <c r="D137" s="33" t="s">
        <v>3</v>
      </c>
      <c r="E137" s="34">
        <v>37848</v>
      </c>
      <c r="F137" s="34" t="s">
        <v>283</v>
      </c>
      <c r="G137" s="35" t="s">
        <v>54</v>
      </c>
      <c r="H137" s="35"/>
      <c r="I137" s="35"/>
      <c r="J137" s="2" t="s">
        <v>1</v>
      </c>
      <c r="K137" s="27">
        <v>573311.32999999996</v>
      </c>
      <c r="L137" s="2" t="s">
        <v>19</v>
      </c>
      <c r="M137" s="4"/>
      <c r="N137" s="4"/>
      <c r="O137" s="4"/>
      <c r="P137" s="283"/>
      <c r="Q137" s="283"/>
      <c r="R137" s="283"/>
      <c r="S137" s="283"/>
      <c r="T137" s="283"/>
      <c r="U137" s="283"/>
      <c r="Z137" s="490"/>
      <c r="AA137" s="60"/>
    </row>
    <row r="138" spans="1:46" s="2" customFormat="1" x14ac:dyDescent="0.25">
      <c r="A138" s="26"/>
      <c r="B138" s="26"/>
      <c r="C138" s="306"/>
      <c r="D138" s="33"/>
      <c r="E138" s="34" t="s">
        <v>13</v>
      </c>
      <c r="F138" s="34"/>
      <c r="G138" s="35"/>
      <c r="H138" s="35"/>
      <c r="I138" s="35"/>
      <c r="J138" s="17" t="s">
        <v>2</v>
      </c>
      <c r="K138" s="28">
        <v>54791.44</v>
      </c>
      <c r="L138" s="17" t="s">
        <v>19</v>
      </c>
      <c r="M138" s="11"/>
      <c r="N138" s="11"/>
      <c r="O138" s="11"/>
      <c r="P138" s="142"/>
      <c r="Q138" s="142"/>
      <c r="R138" s="142"/>
      <c r="S138" s="142"/>
      <c r="T138" s="142"/>
      <c r="U138" s="142"/>
      <c r="V138" s="17"/>
      <c r="W138" s="17"/>
      <c r="X138" s="17"/>
      <c r="Y138" s="17"/>
      <c r="Z138" s="491"/>
      <c r="AA138" s="532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</row>
    <row r="139" spans="1:46" s="6" customFormat="1" ht="13.8" thickBot="1" x14ac:dyDescent="0.3">
      <c r="A139" s="120"/>
      <c r="B139" s="120"/>
      <c r="C139" s="307"/>
      <c r="D139" s="85"/>
      <c r="E139" s="86" t="s">
        <v>14</v>
      </c>
      <c r="F139" s="86" t="s">
        <v>410</v>
      </c>
      <c r="G139" s="125"/>
      <c r="H139" s="125"/>
      <c r="I139" s="125"/>
      <c r="J139" s="41" t="s">
        <v>6</v>
      </c>
      <c r="K139" s="42">
        <f>K138+K137</f>
        <v>628102.77</v>
      </c>
      <c r="L139" s="41" t="s">
        <v>19</v>
      </c>
      <c r="M139" s="43"/>
      <c r="N139" s="43"/>
      <c r="O139" s="43"/>
      <c r="P139" s="43"/>
      <c r="Q139" s="43"/>
      <c r="R139" s="43"/>
      <c r="S139" s="43"/>
      <c r="T139" s="43"/>
      <c r="U139" s="43"/>
      <c r="V139" s="41"/>
      <c r="W139" s="41"/>
      <c r="X139" s="41"/>
      <c r="Y139" s="41"/>
      <c r="Z139" s="492"/>
      <c r="AA139" s="533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</row>
    <row r="140" spans="1:46" s="2" customFormat="1" x14ac:dyDescent="0.25">
      <c r="A140" s="26"/>
      <c r="B140" s="26" t="s">
        <v>97</v>
      </c>
      <c r="C140" s="306"/>
      <c r="D140" s="33" t="s">
        <v>3</v>
      </c>
      <c r="E140" s="34">
        <v>37848</v>
      </c>
      <c r="F140" s="34" t="s">
        <v>283</v>
      </c>
      <c r="G140" s="35" t="s">
        <v>55</v>
      </c>
      <c r="H140" s="35"/>
      <c r="I140" s="35"/>
      <c r="J140" s="2" t="s">
        <v>1</v>
      </c>
      <c r="K140" s="27">
        <v>208573.31</v>
      </c>
      <c r="L140" s="2" t="s">
        <v>19</v>
      </c>
      <c r="M140" s="4"/>
      <c r="N140" s="4"/>
      <c r="O140" s="4"/>
      <c r="P140" s="283"/>
      <c r="Q140" s="283"/>
      <c r="R140" s="283"/>
      <c r="S140" s="283"/>
      <c r="T140" s="283"/>
      <c r="U140" s="283"/>
      <c r="Z140" s="490"/>
      <c r="AA140" s="60"/>
    </row>
    <row r="141" spans="1:46" s="2" customFormat="1" x14ac:dyDescent="0.25">
      <c r="A141" s="26"/>
      <c r="B141" s="26"/>
      <c r="C141" s="306"/>
      <c r="D141" s="33"/>
      <c r="E141" s="34" t="s">
        <v>13</v>
      </c>
      <c r="F141" s="34"/>
      <c r="G141" s="35"/>
      <c r="H141" s="35"/>
      <c r="I141" s="35"/>
      <c r="J141" s="17" t="s">
        <v>2</v>
      </c>
      <c r="K141" s="28">
        <v>20706.8</v>
      </c>
      <c r="L141" s="17" t="s">
        <v>19</v>
      </c>
      <c r="M141" s="11"/>
      <c r="N141" s="11"/>
      <c r="O141" s="11"/>
      <c r="P141" s="142"/>
      <c r="Q141" s="142"/>
      <c r="R141" s="142"/>
      <c r="S141" s="142"/>
      <c r="T141" s="142"/>
      <c r="U141" s="142"/>
      <c r="V141" s="17"/>
      <c r="W141" s="17"/>
      <c r="X141" s="17"/>
      <c r="Y141" s="17"/>
      <c r="Z141" s="491"/>
      <c r="AA141" s="532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</row>
    <row r="142" spans="1:46" s="6" customFormat="1" ht="13.8" thickBot="1" x14ac:dyDescent="0.3">
      <c r="A142" s="120"/>
      <c r="B142" s="120"/>
      <c r="C142" s="307"/>
      <c r="D142" s="85"/>
      <c r="E142" s="86" t="s">
        <v>14</v>
      </c>
      <c r="F142" s="86" t="s">
        <v>410</v>
      </c>
      <c r="G142" s="125"/>
      <c r="H142" s="125"/>
      <c r="I142" s="125"/>
      <c r="J142" s="41" t="s">
        <v>6</v>
      </c>
      <c r="K142" s="42">
        <f>K141+K140</f>
        <v>229280.11</v>
      </c>
      <c r="L142" s="41" t="s">
        <v>19</v>
      </c>
      <c r="M142" s="43"/>
      <c r="N142" s="43"/>
      <c r="O142" s="43"/>
      <c r="P142" s="43"/>
      <c r="Q142" s="43"/>
      <c r="R142" s="43"/>
      <c r="S142" s="43"/>
      <c r="T142" s="43"/>
      <c r="U142" s="43"/>
      <c r="V142" s="41"/>
      <c r="W142" s="41"/>
      <c r="X142" s="41"/>
      <c r="Y142" s="41"/>
      <c r="Z142" s="492"/>
      <c r="AA142" s="533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</row>
    <row r="143" spans="1:46" s="2" customFormat="1" x14ac:dyDescent="0.25">
      <c r="A143" s="26"/>
      <c r="B143" s="26" t="s">
        <v>96</v>
      </c>
      <c r="C143" s="306"/>
      <c r="D143" s="33" t="s">
        <v>3</v>
      </c>
      <c r="E143" s="34">
        <v>37848</v>
      </c>
      <c r="F143" s="34" t="s">
        <v>283</v>
      </c>
      <c r="G143" s="35" t="s">
        <v>58</v>
      </c>
      <c r="H143" s="35"/>
      <c r="I143" s="35"/>
      <c r="J143" s="2" t="s">
        <v>1</v>
      </c>
      <c r="K143" s="27">
        <v>130680.59</v>
      </c>
      <c r="L143" s="2" t="s">
        <v>19</v>
      </c>
      <c r="M143" s="4"/>
      <c r="N143" s="4"/>
      <c r="O143" s="4"/>
      <c r="P143" s="283"/>
      <c r="Q143" s="283"/>
      <c r="R143" s="283"/>
      <c r="S143" s="283"/>
      <c r="T143" s="283"/>
      <c r="U143" s="283"/>
      <c r="Z143" s="490"/>
      <c r="AA143" s="60"/>
    </row>
    <row r="144" spans="1:46" s="2" customFormat="1" x14ac:dyDescent="0.25">
      <c r="A144" s="26"/>
      <c r="B144" s="26"/>
      <c r="C144" s="306"/>
      <c r="D144" s="33"/>
      <c r="E144" s="34" t="s">
        <v>12</v>
      </c>
      <c r="F144" s="34"/>
      <c r="G144" s="35"/>
      <c r="H144" s="35"/>
      <c r="I144" s="35"/>
      <c r="J144" s="17" t="s">
        <v>2</v>
      </c>
      <c r="K144" s="28">
        <v>12263.31</v>
      </c>
      <c r="L144" s="17" t="s">
        <v>19</v>
      </c>
      <c r="M144" s="11"/>
      <c r="N144" s="11"/>
      <c r="O144" s="11"/>
      <c r="P144" s="142"/>
      <c r="Q144" s="142"/>
      <c r="R144" s="142"/>
      <c r="S144" s="142"/>
      <c r="T144" s="142"/>
      <c r="U144" s="142"/>
      <c r="V144" s="17"/>
      <c r="W144" s="17"/>
      <c r="X144" s="17"/>
      <c r="Y144" s="17"/>
      <c r="Z144" s="491"/>
      <c r="AA144" s="532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</row>
    <row r="145" spans="1:46" s="6" customFormat="1" ht="13.8" thickBot="1" x14ac:dyDescent="0.3">
      <c r="A145" s="120"/>
      <c r="B145" s="120"/>
      <c r="C145" s="307"/>
      <c r="D145" s="85"/>
      <c r="E145" s="86" t="s">
        <v>40</v>
      </c>
      <c r="F145" s="86" t="s">
        <v>410</v>
      </c>
      <c r="G145" s="125"/>
      <c r="H145" s="125"/>
      <c r="I145" s="125"/>
      <c r="J145" s="41" t="s">
        <v>6</v>
      </c>
      <c r="K145" s="42">
        <f>K144+K143</f>
        <v>142943.9</v>
      </c>
      <c r="L145" s="41" t="s">
        <v>19</v>
      </c>
      <c r="M145" s="43"/>
      <c r="N145" s="43"/>
      <c r="O145" s="43"/>
      <c r="P145" s="43"/>
      <c r="Q145" s="43"/>
      <c r="R145" s="43"/>
      <c r="S145" s="43"/>
      <c r="T145" s="43"/>
      <c r="U145" s="43"/>
      <c r="V145" s="41"/>
      <c r="W145" s="41"/>
      <c r="X145" s="41"/>
      <c r="Y145" s="41"/>
      <c r="Z145" s="492"/>
      <c r="AA145" s="533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</row>
    <row r="146" spans="1:46" s="2" customFormat="1" x14ac:dyDescent="0.25">
      <c r="A146" s="26"/>
      <c r="B146" s="26" t="s">
        <v>96</v>
      </c>
      <c r="C146" s="306"/>
      <c r="D146" s="33" t="s">
        <v>3</v>
      </c>
      <c r="E146" s="34">
        <v>37848</v>
      </c>
      <c r="F146" s="34" t="s">
        <v>283</v>
      </c>
      <c r="G146" s="35" t="s">
        <v>59</v>
      </c>
      <c r="H146" s="35"/>
      <c r="I146" s="35"/>
      <c r="J146" s="2" t="s">
        <v>1</v>
      </c>
      <c r="K146" s="27">
        <v>142565.41</v>
      </c>
      <c r="L146" s="2" t="s">
        <v>57</v>
      </c>
      <c r="M146" s="4"/>
      <c r="N146" s="4"/>
      <c r="O146" s="4"/>
      <c r="P146" s="283"/>
      <c r="Q146" s="283"/>
      <c r="R146" s="283"/>
      <c r="S146" s="283"/>
      <c r="T146" s="283"/>
      <c r="U146" s="283"/>
      <c r="Z146" s="490"/>
      <c r="AA146" s="60"/>
    </row>
    <row r="147" spans="1:46" s="2" customFormat="1" x14ac:dyDescent="0.25">
      <c r="A147" s="26"/>
      <c r="B147" s="26"/>
      <c r="C147" s="306"/>
      <c r="D147" s="33"/>
      <c r="E147" s="34" t="s">
        <v>12</v>
      </c>
      <c r="F147" s="34"/>
      <c r="G147" s="35"/>
      <c r="H147" s="35"/>
      <c r="I147" s="35"/>
      <c r="J147" s="17" t="s">
        <v>2</v>
      </c>
      <c r="K147" s="28">
        <v>13194.67</v>
      </c>
      <c r="L147" s="17" t="s">
        <v>57</v>
      </c>
      <c r="M147" s="11"/>
      <c r="N147" s="11"/>
      <c r="O147" s="11"/>
      <c r="P147" s="142"/>
      <c r="Q147" s="142"/>
      <c r="R147" s="142"/>
      <c r="S147" s="142"/>
      <c r="T147" s="142"/>
      <c r="U147" s="142"/>
      <c r="V147" s="17"/>
      <c r="W147" s="17"/>
      <c r="X147" s="17"/>
      <c r="Y147" s="17"/>
      <c r="Z147" s="491"/>
      <c r="AA147" s="532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</row>
    <row r="148" spans="1:46" s="6" customFormat="1" ht="13.8" thickBot="1" x14ac:dyDescent="0.3">
      <c r="A148" s="120"/>
      <c r="B148" s="120"/>
      <c r="C148" s="307"/>
      <c r="D148" s="85"/>
      <c r="E148" s="86" t="s">
        <v>40</v>
      </c>
      <c r="F148" s="86" t="s">
        <v>410</v>
      </c>
      <c r="G148" s="125"/>
      <c r="H148" s="125"/>
      <c r="I148" s="125"/>
      <c r="J148" s="41" t="s">
        <v>6</v>
      </c>
      <c r="K148" s="42">
        <f>K147+K146</f>
        <v>155760.08000000002</v>
      </c>
      <c r="L148" s="41" t="s">
        <v>57</v>
      </c>
      <c r="M148" s="43"/>
      <c r="N148" s="43"/>
      <c r="O148" s="43"/>
      <c r="P148" s="43"/>
      <c r="Q148" s="43"/>
      <c r="R148" s="43"/>
      <c r="S148" s="43"/>
      <c r="T148" s="43"/>
      <c r="U148" s="43"/>
      <c r="V148" s="41"/>
      <c r="W148" s="41"/>
      <c r="X148" s="41"/>
      <c r="Y148" s="41"/>
      <c r="Z148" s="492"/>
      <c r="AA148" s="533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</row>
    <row r="149" spans="1:46" s="2" customFormat="1" x14ac:dyDescent="0.25">
      <c r="A149" s="26"/>
      <c r="B149" s="26" t="s">
        <v>96</v>
      </c>
      <c r="C149" s="306"/>
      <c r="D149" s="33" t="s">
        <v>3</v>
      </c>
      <c r="E149" s="34">
        <v>37848</v>
      </c>
      <c r="F149" s="34" t="s">
        <v>283</v>
      </c>
      <c r="G149" s="35" t="s">
        <v>59</v>
      </c>
      <c r="H149" s="35"/>
      <c r="I149" s="35"/>
      <c r="J149" s="2" t="s">
        <v>1</v>
      </c>
      <c r="K149" s="27">
        <v>29057.279999999999</v>
      </c>
      <c r="L149" s="2" t="s">
        <v>19</v>
      </c>
      <c r="M149" s="4"/>
      <c r="N149" s="4"/>
      <c r="O149" s="4"/>
      <c r="P149" s="283"/>
      <c r="Q149" s="283"/>
      <c r="R149" s="283"/>
      <c r="S149" s="283"/>
      <c r="T149" s="283"/>
      <c r="U149" s="283"/>
      <c r="Z149" s="490"/>
      <c r="AA149" s="60"/>
    </row>
    <row r="150" spans="1:46" s="2" customFormat="1" x14ac:dyDescent="0.25">
      <c r="A150" s="26"/>
      <c r="B150" s="26"/>
      <c r="C150" s="306"/>
      <c r="D150" s="33"/>
      <c r="E150" s="34" t="s">
        <v>12</v>
      </c>
      <c r="F150" s="34"/>
      <c r="G150" s="35"/>
      <c r="H150" s="35"/>
      <c r="I150" s="35"/>
      <c r="J150" s="17" t="s">
        <v>2</v>
      </c>
      <c r="K150" s="28">
        <v>2726.75</v>
      </c>
      <c r="L150" s="17" t="s">
        <v>19</v>
      </c>
      <c r="M150" s="11"/>
      <c r="N150" s="11"/>
      <c r="O150" s="11"/>
      <c r="P150" s="142"/>
      <c r="Q150" s="142"/>
      <c r="R150" s="142"/>
      <c r="S150" s="142"/>
      <c r="T150" s="142"/>
      <c r="U150" s="142"/>
      <c r="V150" s="17"/>
      <c r="W150" s="17"/>
      <c r="X150" s="17"/>
      <c r="Y150" s="17"/>
      <c r="Z150" s="491"/>
      <c r="AA150" s="532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</row>
    <row r="151" spans="1:46" s="6" customFormat="1" ht="13.8" thickBot="1" x14ac:dyDescent="0.3">
      <c r="A151" s="120"/>
      <c r="B151" s="120"/>
      <c r="C151" s="307"/>
      <c r="D151" s="85"/>
      <c r="E151" s="86" t="s">
        <v>40</v>
      </c>
      <c r="F151" s="86" t="s">
        <v>410</v>
      </c>
      <c r="G151" s="125"/>
      <c r="H151" s="125"/>
      <c r="I151" s="125"/>
      <c r="J151" s="41" t="s">
        <v>6</v>
      </c>
      <c r="K151" s="42">
        <f>K150+K149</f>
        <v>31784.03</v>
      </c>
      <c r="L151" s="41" t="s">
        <v>19</v>
      </c>
      <c r="M151" s="43"/>
      <c r="N151" s="43"/>
      <c r="O151" s="43"/>
      <c r="P151" s="43"/>
      <c r="Q151" s="43"/>
      <c r="R151" s="43"/>
      <c r="S151" s="43"/>
      <c r="T151" s="43"/>
      <c r="U151" s="43"/>
      <c r="V151" s="41"/>
      <c r="W151" s="41"/>
      <c r="X151" s="41"/>
      <c r="Y151" s="41"/>
      <c r="Z151" s="492"/>
      <c r="AA151" s="533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</row>
    <row r="152" spans="1:46" s="2" customFormat="1" x14ac:dyDescent="0.25">
      <c r="A152" s="26"/>
      <c r="B152" s="26" t="s">
        <v>96</v>
      </c>
      <c r="C152" s="306"/>
      <c r="D152" s="33" t="s">
        <v>3</v>
      </c>
      <c r="E152" s="34">
        <v>37848</v>
      </c>
      <c r="F152" s="34" t="s">
        <v>283</v>
      </c>
      <c r="G152" s="35" t="s">
        <v>60</v>
      </c>
      <c r="H152" s="35"/>
      <c r="I152" s="35"/>
      <c r="J152" s="2" t="s">
        <v>1</v>
      </c>
      <c r="K152" s="27">
        <v>435955.09</v>
      </c>
      <c r="L152" s="2" t="s">
        <v>57</v>
      </c>
      <c r="M152" s="4"/>
      <c r="N152" s="4"/>
      <c r="O152" s="4"/>
      <c r="P152" s="283"/>
      <c r="Q152" s="283"/>
      <c r="R152" s="283"/>
      <c r="S152" s="283"/>
      <c r="T152" s="283"/>
      <c r="U152" s="283"/>
      <c r="Z152" s="490"/>
      <c r="AA152" s="60"/>
    </row>
    <row r="153" spans="1:46" s="2" customFormat="1" x14ac:dyDescent="0.25">
      <c r="A153" s="26"/>
      <c r="B153" s="26"/>
      <c r="C153" s="306"/>
      <c r="D153" s="33"/>
      <c r="E153" s="34" t="s">
        <v>12</v>
      </c>
      <c r="F153" s="34"/>
      <c r="G153" s="35"/>
      <c r="H153" s="35"/>
      <c r="I153" s="35"/>
      <c r="J153" s="17" t="s">
        <v>2</v>
      </c>
      <c r="K153" s="28">
        <v>40038.589999999997</v>
      </c>
      <c r="L153" s="17" t="s">
        <v>57</v>
      </c>
      <c r="M153" s="11"/>
      <c r="N153" s="11"/>
      <c r="O153" s="11"/>
      <c r="P153" s="142"/>
      <c r="Q153" s="142"/>
      <c r="R153" s="142"/>
      <c r="S153" s="142"/>
      <c r="T153" s="142"/>
      <c r="U153" s="142"/>
      <c r="V153" s="17"/>
      <c r="W153" s="17"/>
      <c r="X153" s="17"/>
      <c r="Y153" s="17"/>
      <c r="Z153" s="491"/>
      <c r="AA153" s="532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</row>
    <row r="154" spans="1:46" s="6" customFormat="1" ht="13.8" thickBot="1" x14ac:dyDescent="0.3">
      <c r="A154" s="120"/>
      <c r="B154" s="120"/>
      <c r="C154" s="307"/>
      <c r="D154" s="85"/>
      <c r="E154" s="86" t="s">
        <v>15</v>
      </c>
      <c r="F154" s="86" t="s">
        <v>410</v>
      </c>
      <c r="G154" s="125"/>
      <c r="H154" s="125"/>
      <c r="I154" s="125"/>
      <c r="J154" s="41" t="s">
        <v>6</v>
      </c>
      <c r="K154" s="42">
        <f>K153+K152</f>
        <v>475993.68000000005</v>
      </c>
      <c r="L154" s="41" t="s">
        <v>57</v>
      </c>
      <c r="M154" s="43"/>
      <c r="N154" s="43"/>
      <c r="O154" s="43"/>
      <c r="P154" s="43"/>
      <c r="Q154" s="43"/>
      <c r="R154" s="43"/>
      <c r="S154" s="43"/>
      <c r="T154" s="43"/>
      <c r="U154" s="43"/>
      <c r="V154" s="41"/>
      <c r="W154" s="41"/>
      <c r="X154" s="41"/>
      <c r="Y154" s="41"/>
      <c r="Z154" s="492"/>
      <c r="AA154" s="533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</row>
    <row r="155" spans="1:46" s="2" customFormat="1" x14ac:dyDescent="0.25">
      <c r="A155" s="26"/>
      <c r="B155" s="26" t="s">
        <v>96</v>
      </c>
      <c r="C155" s="306"/>
      <c r="D155" s="33" t="s">
        <v>3</v>
      </c>
      <c r="E155" s="34">
        <v>37848</v>
      </c>
      <c r="F155" s="34" t="s">
        <v>283</v>
      </c>
      <c r="G155" s="35" t="s">
        <v>62</v>
      </c>
      <c r="H155" s="35"/>
      <c r="I155" s="35"/>
      <c r="J155" s="2" t="s">
        <v>1</v>
      </c>
      <c r="K155" s="27">
        <v>47843.14</v>
      </c>
      <c r="L155" s="2" t="s">
        <v>61</v>
      </c>
      <c r="M155" s="4"/>
      <c r="N155" s="4"/>
      <c r="O155" s="4"/>
      <c r="P155" s="283"/>
      <c r="Q155" s="283"/>
      <c r="R155" s="283"/>
      <c r="S155" s="283"/>
      <c r="T155" s="283"/>
      <c r="U155" s="283"/>
      <c r="Z155" s="490"/>
      <c r="AA155" s="60"/>
    </row>
    <row r="156" spans="1:46" s="2" customFormat="1" x14ac:dyDescent="0.25">
      <c r="A156" s="26"/>
      <c r="B156" s="26"/>
      <c r="C156" s="306"/>
      <c r="D156" s="33"/>
      <c r="E156" s="34" t="s">
        <v>12</v>
      </c>
      <c r="F156" s="34"/>
      <c r="G156" s="35"/>
      <c r="H156" s="35"/>
      <c r="I156" s="35"/>
      <c r="J156" s="17" t="s">
        <v>2</v>
      </c>
      <c r="K156" s="28">
        <v>2412.17</v>
      </c>
      <c r="L156" s="17" t="s">
        <v>61</v>
      </c>
      <c r="M156" s="11"/>
      <c r="N156" s="11"/>
      <c r="O156" s="11"/>
      <c r="P156" s="142"/>
      <c r="Q156" s="142"/>
      <c r="R156" s="142"/>
      <c r="S156" s="142"/>
      <c r="T156" s="142"/>
      <c r="U156" s="142"/>
      <c r="V156" s="17"/>
      <c r="W156" s="17"/>
      <c r="X156" s="17"/>
      <c r="Y156" s="17"/>
      <c r="Z156" s="491"/>
      <c r="AA156" s="532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</row>
    <row r="157" spans="1:46" s="6" customFormat="1" ht="13.8" thickBot="1" x14ac:dyDescent="0.3">
      <c r="A157" s="120"/>
      <c r="B157" s="120"/>
      <c r="C157" s="307"/>
      <c r="D157" s="85"/>
      <c r="E157" s="86" t="s">
        <v>31</v>
      </c>
      <c r="F157" s="86" t="s">
        <v>410</v>
      </c>
      <c r="G157" s="125"/>
      <c r="H157" s="125"/>
      <c r="I157" s="125"/>
      <c r="J157" s="41" t="s">
        <v>6</v>
      </c>
      <c r="K157" s="42">
        <f>K156+K155</f>
        <v>50255.31</v>
      </c>
      <c r="L157" s="41" t="s">
        <v>61</v>
      </c>
      <c r="M157" s="43"/>
      <c r="N157" s="43"/>
      <c r="O157" s="43"/>
      <c r="P157" s="43"/>
      <c r="Q157" s="43"/>
      <c r="R157" s="43"/>
      <c r="S157" s="43"/>
      <c r="T157" s="43"/>
      <c r="U157" s="43"/>
      <c r="V157" s="41"/>
      <c r="W157" s="41"/>
      <c r="X157" s="41"/>
      <c r="Y157" s="41"/>
      <c r="Z157" s="492"/>
      <c r="AA157" s="533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</row>
    <row r="158" spans="1:46" s="2" customFormat="1" x14ac:dyDescent="0.25">
      <c r="A158" s="26"/>
      <c r="B158" s="26" t="s">
        <v>96</v>
      </c>
      <c r="C158" s="306"/>
      <c r="D158" s="33" t="s">
        <v>3</v>
      </c>
      <c r="E158" s="34">
        <v>37848</v>
      </c>
      <c r="F158" s="34" t="s">
        <v>283</v>
      </c>
      <c r="G158" s="35" t="s">
        <v>63</v>
      </c>
      <c r="H158" s="35"/>
      <c r="I158" s="35"/>
      <c r="J158" s="2" t="s">
        <v>1</v>
      </c>
      <c r="K158" s="27">
        <v>564774.69999999995</v>
      </c>
      <c r="L158" s="2" t="s">
        <v>19</v>
      </c>
      <c r="M158" s="4"/>
      <c r="N158" s="4"/>
      <c r="O158" s="4"/>
      <c r="P158" s="283"/>
      <c r="Q158" s="283"/>
      <c r="R158" s="283"/>
      <c r="S158" s="283"/>
      <c r="T158" s="283"/>
      <c r="U158" s="283"/>
      <c r="Z158" s="490"/>
      <c r="AA158" s="60"/>
    </row>
    <row r="159" spans="1:46" s="2" customFormat="1" x14ac:dyDescent="0.25">
      <c r="A159" s="26"/>
      <c r="B159" s="26"/>
      <c r="C159" s="306"/>
      <c r="D159" s="33"/>
      <c r="E159" s="34" t="s">
        <v>12</v>
      </c>
      <c r="F159" s="34"/>
      <c r="G159" s="35"/>
      <c r="H159" s="35"/>
      <c r="I159" s="35"/>
      <c r="J159" s="17" t="s">
        <v>2</v>
      </c>
      <c r="K159" s="28">
        <v>53975.58</v>
      </c>
      <c r="L159" s="17" t="s">
        <v>19</v>
      </c>
      <c r="M159" s="11"/>
      <c r="N159" s="11"/>
      <c r="O159" s="11"/>
      <c r="P159" s="142"/>
      <c r="Q159" s="142"/>
      <c r="R159" s="142"/>
      <c r="S159" s="142"/>
      <c r="T159" s="142"/>
      <c r="U159" s="142"/>
      <c r="V159" s="17"/>
      <c r="W159" s="17"/>
      <c r="X159" s="17"/>
      <c r="Y159" s="17"/>
      <c r="Z159" s="491"/>
      <c r="AA159" s="532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</row>
    <row r="160" spans="1:46" s="6" customFormat="1" ht="13.8" thickBot="1" x14ac:dyDescent="0.3">
      <c r="A160" s="120"/>
      <c r="B160" s="120"/>
      <c r="C160" s="307"/>
      <c r="D160" s="85"/>
      <c r="E160" s="86" t="s">
        <v>14</v>
      </c>
      <c r="F160" s="86" t="s">
        <v>410</v>
      </c>
      <c r="G160" s="125"/>
      <c r="H160" s="125"/>
      <c r="I160" s="125"/>
      <c r="J160" s="41" t="s">
        <v>6</v>
      </c>
      <c r="K160" s="42">
        <f>K159+K158</f>
        <v>618750.27999999991</v>
      </c>
      <c r="L160" s="41" t="s">
        <v>19</v>
      </c>
      <c r="M160" s="43"/>
      <c r="N160" s="43"/>
      <c r="O160" s="43"/>
      <c r="P160" s="43"/>
      <c r="Q160" s="43"/>
      <c r="R160" s="43"/>
      <c r="S160" s="43"/>
      <c r="T160" s="43"/>
      <c r="U160" s="43"/>
      <c r="V160" s="41"/>
      <c r="W160" s="41"/>
      <c r="X160" s="41"/>
      <c r="Y160" s="41"/>
      <c r="Z160" s="492"/>
      <c r="AA160" s="533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</row>
    <row r="161" spans="1:46" s="3" customFormat="1" x14ac:dyDescent="0.25">
      <c r="A161" s="121"/>
      <c r="B161" s="121"/>
      <c r="C161" s="306"/>
      <c r="D161" s="54"/>
      <c r="E161" s="54"/>
      <c r="F161" s="54"/>
      <c r="G161" s="36" t="s">
        <v>32</v>
      </c>
      <c r="H161" s="152">
        <v>1771219</v>
      </c>
      <c r="I161" s="36">
        <v>591100</v>
      </c>
      <c r="J161" s="33" t="s">
        <v>1</v>
      </c>
      <c r="K161" s="37">
        <f>K158+K155+K152+K149+K146+K143+K140+K137+K134+K131+K128+K125</f>
        <v>3135374.0999999996</v>
      </c>
      <c r="L161" s="7">
        <f>L134+L131+L128+L125</f>
        <v>83600</v>
      </c>
      <c r="M161" s="7">
        <f t="shared" ref="M161:N161" si="115">M134+M131+M128+M125</f>
        <v>83600</v>
      </c>
      <c r="N161" s="7">
        <f t="shared" si="115"/>
        <v>83600</v>
      </c>
      <c r="O161" s="3" t="s">
        <v>11</v>
      </c>
      <c r="P161" s="7"/>
      <c r="Q161" s="7"/>
      <c r="R161" s="7"/>
      <c r="S161" s="7"/>
      <c r="T161" s="7"/>
      <c r="Z161" s="104"/>
      <c r="AA161" s="58"/>
    </row>
    <row r="162" spans="1:46" s="3" customFormat="1" x14ac:dyDescent="0.25">
      <c r="A162" s="121"/>
      <c r="B162" s="121"/>
      <c r="C162" s="306"/>
      <c r="D162" s="54"/>
      <c r="E162" s="54"/>
      <c r="F162" s="54"/>
      <c r="G162" s="33"/>
      <c r="H162" s="152">
        <v>1771219</v>
      </c>
      <c r="I162" s="33">
        <v>595100</v>
      </c>
      <c r="J162" s="38" t="s">
        <v>2</v>
      </c>
      <c r="K162" s="39">
        <f>K159+K156+K153+K150+K147+K144+K141+K138+K135+K132+K129+K126</f>
        <v>392829.42</v>
      </c>
      <c r="L162" s="16">
        <f>L135+L132+L129+L126</f>
        <v>8569</v>
      </c>
      <c r="M162" s="16">
        <f t="shared" ref="M162:N162" si="116">M135+M132+M129+M126</f>
        <v>5225</v>
      </c>
      <c r="N162" s="16">
        <f t="shared" si="116"/>
        <v>1776.5</v>
      </c>
      <c r="O162" s="20" t="s">
        <v>11</v>
      </c>
      <c r="P162" s="16"/>
      <c r="Q162" s="16"/>
      <c r="R162" s="16"/>
      <c r="S162" s="16"/>
      <c r="T162" s="16"/>
      <c r="U162" s="20"/>
      <c r="V162" s="20"/>
      <c r="W162" s="20"/>
      <c r="X162" s="20"/>
      <c r="Y162" s="20"/>
      <c r="Z162" s="493"/>
      <c r="AA162" s="63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</row>
    <row r="163" spans="1:46" s="8" customFormat="1" ht="13.8" thickBot="1" x14ac:dyDescent="0.3">
      <c r="A163" s="122"/>
      <c r="B163" s="122"/>
      <c r="C163" s="307"/>
      <c r="D163" s="85"/>
      <c r="E163" s="85"/>
      <c r="F163" s="85"/>
      <c r="G163" s="85"/>
      <c r="H163" s="85"/>
      <c r="I163" s="85"/>
      <c r="J163" s="44" t="s">
        <v>5</v>
      </c>
      <c r="K163" s="45">
        <f>K162+K161</f>
        <v>3528203.5199999996</v>
      </c>
      <c r="L163" s="46">
        <f>L162+L161</f>
        <v>92169</v>
      </c>
      <c r="M163" s="46">
        <f t="shared" ref="M163:N163" si="117">M162+M161</f>
        <v>88825</v>
      </c>
      <c r="N163" s="46">
        <f t="shared" si="117"/>
        <v>85376.5</v>
      </c>
      <c r="O163" s="47" t="s">
        <v>11</v>
      </c>
      <c r="P163" s="46"/>
      <c r="Q163" s="46"/>
      <c r="R163" s="46"/>
      <c r="S163" s="46"/>
      <c r="T163" s="46"/>
      <c r="U163" s="47"/>
      <c r="V163" s="47"/>
      <c r="W163" s="47"/>
      <c r="X163" s="47"/>
      <c r="Y163" s="47"/>
      <c r="Z163" s="494"/>
      <c r="AA163" s="65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</row>
    <row r="164" spans="1:46" s="6" customFormat="1" x14ac:dyDescent="0.25">
      <c r="A164" s="26"/>
      <c r="B164" s="26" t="s">
        <v>97</v>
      </c>
      <c r="C164" s="306"/>
      <c r="D164" s="10" t="s">
        <v>4</v>
      </c>
      <c r="E164" s="25">
        <v>37848</v>
      </c>
      <c r="F164" s="25" t="s">
        <v>283</v>
      </c>
      <c r="G164" s="12" t="s">
        <v>51</v>
      </c>
      <c r="H164" s="12"/>
      <c r="I164" s="12"/>
      <c r="J164" s="2" t="s">
        <v>1</v>
      </c>
      <c r="K164" s="27">
        <v>323836.32</v>
      </c>
      <c r="L164" s="4">
        <v>26400</v>
      </c>
      <c r="M164" s="4">
        <v>26400</v>
      </c>
      <c r="N164" s="4">
        <v>26400</v>
      </c>
      <c r="O164" s="2" t="s">
        <v>11</v>
      </c>
      <c r="P164" s="283"/>
      <c r="Q164" s="283"/>
      <c r="R164" s="283"/>
      <c r="S164" s="283"/>
      <c r="T164" s="283"/>
      <c r="U164" s="2"/>
      <c r="V164" s="2"/>
      <c r="W164" s="2"/>
      <c r="X164" s="2"/>
      <c r="Y164" s="2"/>
      <c r="Z164" s="490"/>
      <c r="AA164" s="60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s="6" customFormat="1" x14ac:dyDescent="0.25">
      <c r="A165" s="26"/>
      <c r="B165" s="26"/>
      <c r="C165" s="306"/>
      <c r="D165" s="84"/>
      <c r="E165" s="25" t="s">
        <v>13</v>
      </c>
      <c r="F165" s="25"/>
      <c r="G165" s="12"/>
      <c r="H165" s="12"/>
      <c r="I165" s="12"/>
      <c r="J165" s="17" t="s">
        <v>2</v>
      </c>
      <c r="K165" s="28">
        <v>61612.71</v>
      </c>
      <c r="L165" s="11">
        <v>2706</v>
      </c>
      <c r="M165" s="11">
        <v>1650</v>
      </c>
      <c r="N165" s="11">
        <v>561</v>
      </c>
      <c r="O165" s="17" t="s">
        <v>11</v>
      </c>
      <c r="P165" s="142"/>
      <c r="Q165" s="142"/>
      <c r="R165" s="142"/>
      <c r="S165" s="142"/>
      <c r="T165" s="142"/>
      <c r="U165" s="17"/>
      <c r="V165" s="17"/>
      <c r="W165" s="17"/>
      <c r="X165" s="17"/>
      <c r="Y165" s="17"/>
      <c r="Z165" s="491"/>
      <c r="AA165" s="532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</row>
    <row r="166" spans="1:46" s="6" customFormat="1" ht="13.8" thickBot="1" x14ac:dyDescent="0.3">
      <c r="A166" s="120"/>
      <c r="B166" s="120"/>
      <c r="C166" s="307"/>
      <c r="D166" s="89"/>
      <c r="E166" s="90" t="s">
        <v>16</v>
      </c>
      <c r="F166" s="90" t="s">
        <v>410</v>
      </c>
      <c r="G166" s="124"/>
      <c r="H166" s="124"/>
      <c r="I166" s="124"/>
      <c r="J166" s="41" t="s">
        <v>6</v>
      </c>
      <c r="K166" s="42">
        <f>K165+K164</f>
        <v>385449.03</v>
      </c>
      <c r="L166" s="43">
        <f>L165+L164</f>
        <v>29106</v>
      </c>
      <c r="M166" s="43">
        <f t="shared" ref="M166:N166" si="118">M165+M164</f>
        <v>28050</v>
      </c>
      <c r="N166" s="43">
        <f t="shared" si="118"/>
        <v>26961</v>
      </c>
      <c r="O166" s="41" t="s">
        <v>11</v>
      </c>
      <c r="P166" s="43"/>
      <c r="Q166" s="43"/>
      <c r="R166" s="43"/>
      <c r="S166" s="43"/>
      <c r="T166" s="43"/>
      <c r="U166" s="41"/>
      <c r="V166" s="41"/>
      <c r="W166" s="41"/>
      <c r="X166" s="41"/>
      <c r="Y166" s="41"/>
      <c r="Z166" s="492"/>
      <c r="AA166" s="533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</row>
    <row r="167" spans="1:46" s="8" customFormat="1" x14ac:dyDescent="0.25">
      <c r="A167" s="121"/>
      <c r="B167" s="121"/>
      <c r="C167" s="306"/>
      <c r="D167" s="55"/>
      <c r="E167" s="55"/>
      <c r="F167" s="55"/>
      <c r="G167" s="9" t="s">
        <v>7</v>
      </c>
      <c r="H167" s="9">
        <v>61771219</v>
      </c>
      <c r="I167" s="9">
        <v>591100</v>
      </c>
      <c r="J167" s="10" t="s">
        <v>1</v>
      </c>
      <c r="K167" s="31">
        <f>K164</f>
        <v>323836.32</v>
      </c>
      <c r="L167" s="7">
        <f t="shared" ref="L167:O167" si="119">L164</f>
        <v>26400</v>
      </c>
      <c r="M167" s="7">
        <f t="shared" si="119"/>
        <v>26400</v>
      </c>
      <c r="N167" s="7">
        <f t="shared" si="119"/>
        <v>26400</v>
      </c>
      <c r="O167" s="3" t="str">
        <f t="shared" si="119"/>
        <v>END</v>
      </c>
      <c r="P167" s="7"/>
      <c r="Q167" s="7"/>
      <c r="R167" s="7"/>
      <c r="S167" s="7"/>
      <c r="T167" s="7"/>
      <c r="U167" s="3"/>
      <c r="V167" s="3"/>
      <c r="W167" s="3"/>
      <c r="X167" s="3"/>
      <c r="Y167" s="3"/>
      <c r="Z167" s="104"/>
      <c r="AA167" s="58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 s="8" customFormat="1" x14ac:dyDescent="0.25">
      <c r="A168" s="121"/>
      <c r="B168" s="121"/>
      <c r="C168" s="306"/>
      <c r="D168" s="10"/>
      <c r="E168" s="10"/>
      <c r="F168" s="10"/>
      <c r="G168" s="10"/>
      <c r="H168" s="10">
        <v>61771219</v>
      </c>
      <c r="I168" s="10">
        <v>595100</v>
      </c>
      <c r="J168" s="19" t="s">
        <v>2</v>
      </c>
      <c r="K168" s="32">
        <f>K165</f>
        <v>61612.71</v>
      </c>
      <c r="L168" s="16">
        <f t="shared" ref="L168:O168" si="120">L165</f>
        <v>2706</v>
      </c>
      <c r="M168" s="16">
        <f t="shared" si="120"/>
        <v>1650</v>
      </c>
      <c r="N168" s="16">
        <f t="shared" si="120"/>
        <v>561</v>
      </c>
      <c r="O168" s="20" t="str">
        <f t="shared" si="120"/>
        <v>END</v>
      </c>
      <c r="P168" s="16"/>
      <c r="Q168" s="16"/>
      <c r="R168" s="16"/>
      <c r="S168" s="16"/>
      <c r="T168" s="16"/>
      <c r="U168" s="20"/>
      <c r="V168" s="20"/>
      <c r="W168" s="20"/>
      <c r="X168" s="20"/>
      <c r="Y168" s="20"/>
      <c r="Z168" s="493"/>
      <c r="AA168" s="63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</row>
    <row r="169" spans="1:46" s="8" customFormat="1" ht="13.8" thickBot="1" x14ac:dyDescent="0.3">
      <c r="A169" s="122"/>
      <c r="B169" s="122"/>
      <c r="C169" s="307"/>
      <c r="D169" s="91"/>
      <c r="E169" s="91"/>
      <c r="F169" s="91"/>
      <c r="G169" s="91"/>
      <c r="H169" s="91"/>
      <c r="I169" s="91"/>
      <c r="J169" s="52" t="s">
        <v>5</v>
      </c>
      <c r="K169" s="53">
        <f>K168+K167</f>
        <v>385449.03</v>
      </c>
      <c r="L169" s="46">
        <f>L168+L167</f>
        <v>29106</v>
      </c>
      <c r="M169" s="46">
        <f t="shared" ref="M169:N169" si="121">M168+M167</f>
        <v>28050</v>
      </c>
      <c r="N169" s="46">
        <f t="shared" si="121"/>
        <v>26961</v>
      </c>
      <c r="O169" s="47" t="s">
        <v>11</v>
      </c>
      <c r="P169" s="46"/>
      <c r="Q169" s="46"/>
      <c r="R169" s="46"/>
      <c r="S169" s="46"/>
      <c r="T169" s="46"/>
      <c r="U169" s="47"/>
      <c r="V169" s="47"/>
      <c r="W169" s="47"/>
      <c r="X169" s="47"/>
      <c r="Y169" s="47"/>
      <c r="Z169" s="494"/>
      <c r="AA169" s="65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</row>
    <row r="170" spans="1:46" s="3" customFormat="1" x14ac:dyDescent="0.25">
      <c r="A170" s="121"/>
      <c r="B170" s="121"/>
      <c r="C170" s="306"/>
      <c r="D170" s="102"/>
      <c r="E170" s="102"/>
      <c r="F170" s="102"/>
      <c r="G170" s="103" t="s">
        <v>521</v>
      </c>
      <c r="H170" s="103"/>
      <c r="I170" s="103"/>
      <c r="J170" s="104" t="s">
        <v>1</v>
      </c>
      <c r="K170" s="105">
        <f>K167+K161+K122</f>
        <v>5800000</v>
      </c>
      <c r="L170" s="7">
        <f>L167+L161+L122</f>
        <v>170000</v>
      </c>
      <c r="M170" s="7">
        <f t="shared" ref="M170:N170" si="122">M167+M161+M122</f>
        <v>170000</v>
      </c>
      <c r="N170" s="7">
        <f t="shared" si="122"/>
        <v>170000</v>
      </c>
      <c r="O170" s="7">
        <f>O122</f>
        <v>60000</v>
      </c>
      <c r="P170" s="7">
        <f t="shared" ref="P170:Y170" si="123">P122</f>
        <v>60000</v>
      </c>
      <c r="Q170" s="7">
        <f t="shared" si="123"/>
        <v>60000</v>
      </c>
      <c r="R170" s="7">
        <f t="shared" si="123"/>
        <v>60000</v>
      </c>
      <c r="S170" s="7">
        <f t="shared" si="123"/>
        <v>60000</v>
      </c>
      <c r="T170" s="7">
        <f t="shared" si="123"/>
        <v>60000</v>
      </c>
      <c r="U170" s="7">
        <f t="shared" si="123"/>
        <v>60000</v>
      </c>
      <c r="V170" s="7">
        <f t="shared" si="123"/>
        <v>60000</v>
      </c>
      <c r="W170" s="7">
        <f t="shared" si="123"/>
        <v>60000</v>
      </c>
      <c r="X170" s="7">
        <f t="shared" si="123"/>
        <v>60000</v>
      </c>
      <c r="Y170" s="3" t="str">
        <f t="shared" si="123"/>
        <v>END</v>
      </c>
      <c r="Z170" s="104"/>
      <c r="AA170" s="58"/>
      <c r="AD170" s="7"/>
      <c r="AI170" s="7"/>
      <c r="AN170" s="7"/>
    </row>
    <row r="171" spans="1:46" s="3" customFormat="1" ht="13.8" thickBot="1" x14ac:dyDescent="0.3">
      <c r="A171" s="121"/>
      <c r="B171" s="121"/>
      <c r="C171" s="306"/>
      <c r="D171" s="104"/>
      <c r="E171" s="104"/>
      <c r="F171" s="104"/>
      <c r="G171" s="103"/>
      <c r="H171" s="103"/>
      <c r="I171" s="103"/>
      <c r="J171" s="106" t="s">
        <v>2</v>
      </c>
      <c r="K171" s="107">
        <f>K168+K162+K123</f>
        <v>1136249.5899999999</v>
      </c>
      <c r="L171" s="22">
        <f>L168+L162+L123</f>
        <v>46270</v>
      </c>
      <c r="M171" s="22">
        <f t="shared" ref="M171:N171" si="124">M168+M162+M123</f>
        <v>39320</v>
      </c>
      <c r="N171" s="22">
        <f t="shared" si="124"/>
        <v>32157.5</v>
      </c>
      <c r="O171" s="22">
        <f>O123</f>
        <v>27210</v>
      </c>
      <c r="P171" s="22">
        <f t="shared" ref="P171:Y171" si="125">P123</f>
        <v>24600</v>
      </c>
      <c r="Q171" s="22">
        <f t="shared" si="125"/>
        <v>21900</v>
      </c>
      <c r="R171" s="22">
        <f t="shared" si="125"/>
        <v>19200</v>
      </c>
      <c r="S171" s="22">
        <f t="shared" si="125"/>
        <v>16350</v>
      </c>
      <c r="T171" s="22">
        <f t="shared" si="125"/>
        <v>13350</v>
      </c>
      <c r="U171" s="22">
        <f t="shared" si="125"/>
        <v>10425</v>
      </c>
      <c r="V171" s="22">
        <f t="shared" si="125"/>
        <v>7500</v>
      </c>
      <c r="W171" s="22">
        <f t="shared" si="125"/>
        <v>4500</v>
      </c>
      <c r="X171" s="22">
        <f t="shared" si="125"/>
        <v>1500</v>
      </c>
      <c r="Y171" s="23" t="str">
        <f t="shared" si="125"/>
        <v>END</v>
      </c>
      <c r="Z171" s="106"/>
      <c r="AA171" s="92"/>
      <c r="AB171" s="23"/>
      <c r="AC171" s="23"/>
      <c r="AD171" s="22"/>
      <c r="AE171" s="23"/>
      <c r="AF171" s="23"/>
      <c r="AG171" s="23"/>
      <c r="AH171" s="23"/>
      <c r="AI171" s="22"/>
      <c r="AJ171" s="23"/>
      <c r="AK171" s="23"/>
      <c r="AL171" s="23"/>
      <c r="AM171" s="23"/>
      <c r="AN171" s="22"/>
      <c r="AO171" s="23"/>
      <c r="AP171" s="23"/>
      <c r="AQ171" s="23"/>
      <c r="AR171" s="23"/>
      <c r="AS171" s="23"/>
      <c r="AT171" s="23"/>
    </row>
    <row r="172" spans="1:46" s="6" customFormat="1" x14ac:dyDescent="0.25">
      <c r="A172" s="26"/>
      <c r="B172" s="26"/>
      <c r="C172" s="306"/>
      <c r="D172" s="108"/>
      <c r="E172" s="108"/>
      <c r="F172" s="108"/>
      <c r="G172" s="118"/>
      <c r="H172" s="103"/>
      <c r="I172" s="103"/>
      <c r="J172" s="109" t="s">
        <v>5</v>
      </c>
      <c r="K172" s="110">
        <f>K171+K170</f>
        <v>6936249.5899999999</v>
      </c>
      <c r="L172" s="67">
        <f>L171+L170</f>
        <v>216270</v>
      </c>
      <c r="M172" s="67">
        <f t="shared" ref="M172:X172" si="126">SUM(M170:M171)</f>
        <v>209320</v>
      </c>
      <c r="N172" s="67">
        <f t="shared" si="126"/>
        <v>202157.5</v>
      </c>
      <c r="O172" s="67">
        <f t="shared" si="126"/>
        <v>87210</v>
      </c>
      <c r="P172" s="67">
        <f t="shared" si="126"/>
        <v>84600</v>
      </c>
      <c r="Q172" s="67">
        <f t="shared" si="126"/>
        <v>81900</v>
      </c>
      <c r="R172" s="67">
        <f t="shared" si="126"/>
        <v>79200</v>
      </c>
      <c r="S172" s="67">
        <f t="shared" si="126"/>
        <v>76350</v>
      </c>
      <c r="T172" s="67">
        <f t="shared" si="126"/>
        <v>73350</v>
      </c>
      <c r="U172" s="67">
        <f t="shared" si="126"/>
        <v>70425</v>
      </c>
      <c r="V172" s="67">
        <f t="shared" si="126"/>
        <v>67500</v>
      </c>
      <c r="W172" s="67">
        <f t="shared" si="126"/>
        <v>64500</v>
      </c>
      <c r="X172" s="67">
        <f t="shared" si="126"/>
        <v>61500</v>
      </c>
      <c r="Y172" s="134" t="s">
        <v>11</v>
      </c>
      <c r="Z172" s="495"/>
      <c r="AA172" s="534"/>
      <c r="AB172" s="69"/>
      <c r="AC172" s="69"/>
      <c r="AD172" s="67"/>
      <c r="AE172" s="69"/>
      <c r="AF172" s="69"/>
      <c r="AG172" s="69"/>
      <c r="AH172" s="69"/>
      <c r="AI172" s="67"/>
      <c r="AJ172" s="69"/>
      <c r="AK172" s="69"/>
      <c r="AL172" s="69"/>
      <c r="AM172" s="69"/>
      <c r="AN172" s="67"/>
      <c r="AO172" s="69"/>
      <c r="AP172" s="69"/>
      <c r="AQ172" s="69"/>
      <c r="AR172" s="69"/>
      <c r="AS172" s="69"/>
      <c r="AT172" s="69"/>
    </row>
    <row r="173" spans="1:46" s="2" customFormat="1" x14ac:dyDescent="0.25">
      <c r="A173" s="119"/>
      <c r="B173" s="119"/>
      <c r="C173" s="308"/>
      <c r="D173" s="49"/>
      <c r="E173" s="49"/>
      <c r="F173" s="49"/>
      <c r="G173" s="128" t="s">
        <v>64</v>
      </c>
      <c r="H173" s="128"/>
      <c r="I173" s="128"/>
      <c r="J173" s="48"/>
      <c r="K173" s="96"/>
      <c r="L173" s="97"/>
      <c r="M173" s="97"/>
      <c r="N173" s="97"/>
      <c r="O173" s="97"/>
      <c r="P173" s="98"/>
      <c r="Q173" s="98"/>
      <c r="R173" s="98"/>
      <c r="S173" s="98"/>
      <c r="T173" s="9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</row>
    <row r="174" spans="1:46" s="2" customFormat="1" x14ac:dyDescent="0.25">
      <c r="A174" s="26" t="s">
        <v>104</v>
      </c>
      <c r="B174" s="26" t="s">
        <v>97</v>
      </c>
      <c r="C174" s="306"/>
      <c r="D174" s="75" t="s">
        <v>44</v>
      </c>
      <c r="E174" s="76">
        <v>38047</v>
      </c>
      <c r="F174" s="76" t="s">
        <v>283</v>
      </c>
      <c r="G174" s="79" t="s">
        <v>69</v>
      </c>
      <c r="H174" s="79"/>
      <c r="I174" s="79"/>
      <c r="J174" s="2" t="s">
        <v>1</v>
      </c>
      <c r="K174" s="27">
        <v>1985000</v>
      </c>
      <c r="L174" s="4">
        <v>215000</v>
      </c>
      <c r="M174" s="4">
        <v>215000</v>
      </c>
      <c r="N174" s="4">
        <v>215000</v>
      </c>
      <c r="O174" s="4">
        <v>215000</v>
      </c>
      <c r="P174" s="4">
        <v>215000</v>
      </c>
      <c r="Q174" s="4">
        <v>220000</v>
      </c>
      <c r="R174" s="4">
        <v>210000</v>
      </c>
      <c r="S174" s="2" t="s">
        <v>11</v>
      </c>
      <c r="T174" s="4"/>
      <c r="U174" s="4"/>
      <c r="V174" s="4"/>
      <c r="W174" s="4"/>
      <c r="X174" s="4"/>
      <c r="Z174" s="490"/>
      <c r="AA174" s="60"/>
    </row>
    <row r="175" spans="1:46" s="2" customFormat="1" x14ac:dyDescent="0.25">
      <c r="A175" s="26"/>
      <c r="B175" s="26"/>
      <c r="C175" s="306"/>
      <c r="D175" s="75"/>
      <c r="E175" s="76" t="s">
        <v>13</v>
      </c>
      <c r="F175" s="76"/>
      <c r="G175" s="79"/>
      <c r="H175" s="79"/>
      <c r="I175" s="79"/>
      <c r="J175" s="17" t="s">
        <v>2</v>
      </c>
      <c r="K175" s="28">
        <v>785800.19</v>
      </c>
      <c r="L175" s="11">
        <v>65625</v>
      </c>
      <c r="M175" s="11">
        <v>57025</v>
      </c>
      <c r="N175" s="11">
        <f>25825+20450</f>
        <v>46275</v>
      </c>
      <c r="O175" s="11">
        <f>20450+15075</f>
        <v>35525</v>
      </c>
      <c r="P175" s="142">
        <f>15075+9700</f>
        <v>24775</v>
      </c>
      <c r="Q175" s="142">
        <f>9700+4200</f>
        <v>13900</v>
      </c>
      <c r="R175" s="142">
        <v>4200</v>
      </c>
      <c r="S175" s="368" t="s">
        <v>11</v>
      </c>
      <c r="T175" s="142"/>
      <c r="U175" s="142"/>
      <c r="V175" s="142"/>
      <c r="W175" s="142"/>
      <c r="X175" s="142"/>
      <c r="Y175" s="17"/>
      <c r="Z175" s="491"/>
      <c r="AA175" s="532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</row>
    <row r="176" spans="1:46" s="6" customFormat="1" ht="13.8" thickBot="1" x14ac:dyDescent="0.3">
      <c r="A176" s="120"/>
      <c r="B176" s="120"/>
      <c r="C176" s="307"/>
      <c r="D176" s="94"/>
      <c r="E176" s="95" t="s">
        <v>46</v>
      </c>
      <c r="F176" s="95" t="s">
        <v>410</v>
      </c>
      <c r="G176" s="127"/>
      <c r="H176" s="127"/>
      <c r="I176" s="127"/>
      <c r="J176" s="41" t="s">
        <v>6</v>
      </c>
      <c r="K176" s="42">
        <f>K175+K174</f>
        <v>2770800.19</v>
      </c>
      <c r="L176" s="43">
        <f>L175+L174</f>
        <v>280625</v>
      </c>
      <c r="M176" s="43">
        <f t="shared" ref="M176:Q176" si="127">M175+M174</f>
        <v>272025</v>
      </c>
      <c r="N176" s="43">
        <f t="shared" si="127"/>
        <v>261275</v>
      </c>
      <c r="O176" s="43">
        <f t="shared" si="127"/>
        <v>250525</v>
      </c>
      <c r="P176" s="43">
        <f t="shared" si="127"/>
        <v>239775</v>
      </c>
      <c r="Q176" s="43">
        <f t="shared" si="127"/>
        <v>233900</v>
      </c>
      <c r="R176" s="43">
        <f>R175+R174</f>
        <v>214200</v>
      </c>
      <c r="S176" s="41" t="s">
        <v>11</v>
      </c>
      <c r="T176" s="43"/>
      <c r="U176" s="43"/>
      <c r="V176" s="43"/>
      <c r="W176" s="43"/>
      <c r="X176" s="43"/>
      <c r="Y176" s="41"/>
      <c r="Z176" s="492"/>
      <c r="AA176" s="533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</row>
    <row r="177" spans="1:46" s="2" customFormat="1" x14ac:dyDescent="0.25">
      <c r="A177" s="26"/>
      <c r="B177" s="26"/>
      <c r="C177" s="306"/>
      <c r="D177" s="75"/>
      <c r="E177" s="76"/>
      <c r="F177" s="76"/>
      <c r="G177" s="77" t="s">
        <v>45</v>
      </c>
      <c r="H177" s="77">
        <v>62771619</v>
      </c>
      <c r="I177" s="77">
        <v>591100</v>
      </c>
      <c r="J177" s="75" t="s">
        <v>1</v>
      </c>
      <c r="K177" s="78">
        <f t="shared" ref="K177:M178" si="128">K174</f>
        <v>1985000</v>
      </c>
      <c r="L177" s="7">
        <f t="shared" si="128"/>
        <v>215000</v>
      </c>
      <c r="M177" s="7">
        <f t="shared" si="128"/>
        <v>215000</v>
      </c>
      <c r="N177" s="7">
        <f t="shared" ref="N177:S177" si="129">N174</f>
        <v>215000</v>
      </c>
      <c r="O177" s="7">
        <f t="shared" si="129"/>
        <v>215000</v>
      </c>
      <c r="P177" s="7">
        <f t="shared" si="129"/>
        <v>215000</v>
      </c>
      <c r="Q177" s="7">
        <f t="shared" si="129"/>
        <v>220000</v>
      </c>
      <c r="R177" s="7">
        <f t="shared" si="129"/>
        <v>210000</v>
      </c>
      <c r="S177" s="3" t="str">
        <f t="shared" si="129"/>
        <v>END</v>
      </c>
      <c r="T177" s="7"/>
      <c r="U177" s="7"/>
      <c r="V177" s="7"/>
      <c r="W177" s="7"/>
      <c r="X177" s="7"/>
      <c r="Y177" s="40"/>
      <c r="Z177" s="490"/>
      <c r="AA177" s="60"/>
      <c r="AD177" s="40"/>
      <c r="AI177" s="40"/>
      <c r="AN177" s="40"/>
    </row>
    <row r="178" spans="1:46" s="2" customFormat="1" x14ac:dyDescent="0.25">
      <c r="A178" s="26"/>
      <c r="B178" s="26"/>
      <c r="C178" s="306"/>
      <c r="D178" s="75"/>
      <c r="E178" s="76"/>
      <c r="F178" s="76"/>
      <c r="G178" s="79"/>
      <c r="H178" s="154">
        <v>62771619</v>
      </c>
      <c r="I178" s="154">
        <v>595100</v>
      </c>
      <c r="J178" s="80" t="s">
        <v>2</v>
      </c>
      <c r="K178" s="81">
        <f t="shared" si="128"/>
        <v>785800.19</v>
      </c>
      <c r="L178" s="16">
        <f t="shared" si="128"/>
        <v>65625</v>
      </c>
      <c r="M178" s="16">
        <f t="shared" si="128"/>
        <v>57025</v>
      </c>
      <c r="N178" s="16">
        <f t="shared" ref="N178:S178" si="130">N175</f>
        <v>46275</v>
      </c>
      <c r="O178" s="16">
        <f t="shared" si="130"/>
        <v>35525</v>
      </c>
      <c r="P178" s="16">
        <f t="shared" si="130"/>
        <v>24775</v>
      </c>
      <c r="Q178" s="16">
        <f t="shared" si="130"/>
        <v>13900</v>
      </c>
      <c r="R178" s="16">
        <f t="shared" si="130"/>
        <v>4200</v>
      </c>
      <c r="S178" s="20" t="str">
        <f t="shared" si="130"/>
        <v>END</v>
      </c>
      <c r="T178" s="16"/>
      <c r="U178" s="16"/>
      <c r="V178" s="16"/>
      <c r="W178" s="16"/>
      <c r="X178" s="16"/>
      <c r="Y178" s="56"/>
      <c r="Z178" s="491"/>
      <c r="AA178" s="532"/>
      <c r="AB178" s="17"/>
      <c r="AC178" s="17"/>
      <c r="AD178" s="56"/>
      <c r="AE178" s="17"/>
      <c r="AF178" s="17"/>
      <c r="AG178" s="17"/>
      <c r="AH178" s="17"/>
      <c r="AI178" s="56"/>
      <c r="AJ178" s="17"/>
      <c r="AK178" s="17"/>
      <c r="AL178" s="17"/>
      <c r="AM178" s="17"/>
      <c r="AN178" s="56"/>
      <c r="AO178" s="17"/>
      <c r="AP178" s="17"/>
      <c r="AQ178" s="17"/>
      <c r="AR178" s="17"/>
      <c r="AS178" s="17"/>
      <c r="AT178" s="17"/>
    </row>
    <row r="179" spans="1:46" s="8" customFormat="1" ht="13.8" thickBot="1" x14ac:dyDescent="0.3">
      <c r="A179" s="122"/>
      <c r="B179" s="122"/>
      <c r="C179" s="307"/>
      <c r="D179" s="94"/>
      <c r="E179" s="94"/>
      <c r="F179" s="94"/>
      <c r="G179" s="94"/>
      <c r="H179" s="94"/>
      <c r="I179" s="94"/>
      <c r="J179" s="82" t="s">
        <v>5</v>
      </c>
      <c r="K179" s="83">
        <f>K178+K177</f>
        <v>2770800.19</v>
      </c>
      <c r="L179" s="46">
        <f>L178+L177</f>
        <v>280625</v>
      </c>
      <c r="M179" s="46">
        <f t="shared" ref="M179:R179" si="131">M178+M177</f>
        <v>272025</v>
      </c>
      <c r="N179" s="46">
        <f t="shared" si="131"/>
        <v>261275</v>
      </c>
      <c r="O179" s="46">
        <f t="shared" si="131"/>
        <v>250525</v>
      </c>
      <c r="P179" s="46">
        <f t="shared" si="131"/>
        <v>239775</v>
      </c>
      <c r="Q179" s="46">
        <f t="shared" si="131"/>
        <v>233900</v>
      </c>
      <c r="R179" s="46">
        <f t="shared" si="131"/>
        <v>214200</v>
      </c>
      <c r="S179" s="47" t="s">
        <v>11</v>
      </c>
      <c r="T179" s="46"/>
      <c r="U179" s="46"/>
      <c r="V179" s="46"/>
      <c r="W179" s="46"/>
      <c r="X179" s="46"/>
      <c r="Y179" s="47"/>
      <c r="Z179" s="494"/>
      <c r="AA179" s="65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</row>
    <row r="180" spans="1:46" s="2" customFormat="1" x14ac:dyDescent="0.25">
      <c r="A180" s="26"/>
      <c r="B180" s="26" t="s">
        <v>97</v>
      </c>
      <c r="C180" s="306"/>
      <c r="D180" s="33" t="s">
        <v>3</v>
      </c>
      <c r="E180" s="34">
        <v>38047</v>
      </c>
      <c r="F180" s="34" t="s">
        <v>283</v>
      </c>
      <c r="G180" s="35" t="s">
        <v>66</v>
      </c>
      <c r="H180" s="35"/>
      <c r="I180" s="35"/>
      <c r="J180" s="2" t="s">
        <v>1</v>
      </c>
      <c r="K180" s="27">
        <v>2919000</v>
      </c>
      <c r="L180" s="4">
        <v>330000</v>
      </c>
      <c r="M180" s="4">
        <v>322000</v>
      </c>
      <c r="N180" s="4">
        <v>322000</v>
      </c>
      <c r="O180" s="4">
        <v>63000</v>
      </c>
      <c r="P180" s="283">
        <v>4000</v>
      </c>
      <c r="Q180" s="367" t="s">
        <v>11</v>
      </c>
      <c r="R180" s="283"/>
      <c r="S180" s="283"/>
      <c r="T180" s="283"/>
      <c r="Z180" s="490"/>
      <c r="AA180" s="60"/>
    </row>
    <row r="181" spans="1:46" s="2" customFormat="1" x14ac:dyDescent="0.25">
      <c r="A181" s="26"/>
      <c r="B181" s="26"/>
      <c r="C181" s="306"/>
      <c r="D181" s="33"/>
      <c r="E181" s="34" t="s">
        <v>13</v>
      </c>
      <c r="F181" s="34"/>
      <c r="G181" s="35"/>
      <c r="H181" s="35"/>
      <c r="I181" s="35"/>
      <c r="J181" s="17" t="s">
        <v>2</v>
      </c>
      <c r="K181" s="28">
        <v>571818.96</v>
      </c>
      <c r="L181" s="11">
        <v>40500</v>
      </c>
      <c r="M181" s="11">
        <v>27500</v>
      </c>
      <c r="N181" s="11">
        <f>9725+1675</f>
        <v>11400</v>
      </c>
      <c r="O181" s="11">
        <f>1675+100</f>
        <v>1775</v>
      </c>
      <c r="P181" s="142">
        <v>100</v>
      </c>
      <c r="Q181" s="368" t="s">
        <v>11</v>
      </c>
      <c r="R181" s="142"/>
      <c r="S181" s="142"/>
      <c r="T181" s="142"/>
      <c r="U181" s="17"/>
      <c r="V181" s="17"/>
      <c r="W181" s="17"/>
      <c r="X181" s="17"/>
      <c r="Y181" s="17"/>
      <c r="Z181" s="491"/>
      <c r="AA181" s="532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</row>
    <row r="182" spans="1:46" s="6" customFormat="1" ht="13.8" thickBot="1" x14ac:dyDescent="0.3">
      <c r="A182" s="120"/>
      <c r="B182" s="120"/>
      <c r="C182" s="307"/>
      <c r="D182" s="85"/>
      <c r="E182" s="86" t="s">
        <v>161</v>
      </c>
      <c r="F182" s="86" t="s">
        <v>410</v>
      </c>
      <c r="G182" s="125"/>
      <c r="H182" s="125"/>
      <c r="I182" s="125"/>
      <c r="J182" s="41" t="s">
        <v>6</v>
      </c>
      <c r="K182" s="42">
        <f t="shared" ref="K182:P182" si="132">K181+K180</f>
        <v>3490818.96</v>
      </c>
      <c r="L182" s="43">
        <f t="shared" si="132"/>
        <v>370500</v>
      </c>
      <c r="M182" s="43">
        <f t="shared" si="132"/>
        <v>349500</v>
      </c>
      <c r="N182" s="43">
        <f t="shared" si="132"/>
        <v>333400</v>
      </c>
      <c r="O182" s="43">
        <f t="shared" si="132"/>
        <v>64775</v>
      </c>
      <c r="P182" s="43">
        <f t="shared" si="132"/>
        <v>4100</v>
      </c>
      <c r="Q182" s="41" t="s">
        <v>11</v>
      </c>
      <c r="R182" s="43"/>
      <c r="S182" s="43"/>
      <c r="T182" s="43"/>
      <c r="U182" s="41"/>
      <c r="V182" s="41"/>
      <c r="W182" s="41"/>
      <c r="X182" s="41"/>
      <c r="Y182" s="41"/>
      <c r="Z182" s="492"/>
      <c r="AA182" s="533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</row>
    <row r="183" spans="1:46" s="2" customFormat="1" x14ac:dyDescent="0.25">
      <c r="A183" s="26"/>
      <c r="B183" s="26" t="s">
        <v>97</v>
      </c>
      <c r="C183" s="306"/>
      <c r="D183" s="33" t="s">
        <v>3</v>
      </c>
      <c r="E183" s="34">
        <v>38047</v>
      </c>
      <c r="F183" s="34" t="s">
        <v>283</v>
      </c>
      <c r="G183" s="35" t="s">
        <v>67</v>
      </c>
      <c r="H183" s="35">
        <v>3100</v>
      </c>
      <c r="I183" s="35">
        <v>538003</v>
      </c>
      <c r="J183" s="2" t="s">
        <v>1</v>
      </c>
      <c r="K183" s="27">
        <v>23000</v>
      </c>
      <c r="L183" s="2" t="s">
        <v>57</v>
      </c>
      <c r="M183" s="4"/>
      <c r="N183" s="4"/>
      <c r="O183" s="4"/>
      <c r="P183" s="283"/>
      <c r="Q183" s="283"/>
      <c r="R183" s="283"/>
      <c r="S183" s="283"/>
      <c r="T183" s="283"/>
      <c r="Z183" s="490"/>
      <c r="AA183" s="60"/>
    </row>
    <row r="184" spans="1:46" s="2" customFormat="1" x14ac:dyDescent="0.25">
      <c r="A184" s="26"/>
      <c r="B184" s="26"/>
      <c r="C184" s="306"/>
      <c r="D184" s="33"/>
      <c r="E184" s="34" t="s">
        <v>13</v>
      </c>
      <c r="F184" s="34"/>
      <c r="G184" s="35" t="s">
        <v>42</v>
      </c>
      <c r="H184" s="35"/>
      <c r="I184" s="35"/>
      <c r="J184" s="17" t="s">
        <v>2</v>
      </c>
      <c r="K184" s="28">
        <v>1770.56</v>
      </c>
      <c r="L184" s="17" t="s">
        <v>57</v>
      </c>
      <c r="M184" s="11"/>
      <c r="N184" s="11"/>
      <c r="O184" s="11"/>
      <c r="P184" s="142"/>
      <c r="Q184" s="142"/>
      <c r="R184" s="142"/>
      <c r="S184" s="142"/>
      <c r="T184" s="142"/>
      <c r="U184" s="17"/>
      <c r="V184" s="17"/>
      <c r="W184" s="17"/>
      <c r="X184" s="17"/>
      <c r="Y184" s="17"/>
      <c r="Z184" s="491"/>
      <c r="AA184" s="532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</row>
    <row r="185" spans="1:46" s="6" customFormat="1" ht="13.8" thickBot="1" x14ac:dyDescent="0.3">
      <c r="A185" s="120"/>
      <c r="B185" s="120"/>
      <c r="C185" s="307"/>
      <c r="D185" s="85"/>
      <c r="E185" s="86" t="s">
        <v>22</v>
      </c>
      <c r="F185" s="86" t="s">
        <v>410</v>
      </c>
      <c r="G185" s="125"/>
      <c r="H185" s="125"/>
      <c r="I185" s="125"/>
      <c r="J185" s="41" t="s">
        <v>6</v>
      </c>
      <c r="K185" s="42">
        <f>K184+K183</f>
        <v>24770.560000000001</v>
      </c>
      <c r="L185" s="41" t="s">
        <v>57</v>
      </c>
      <c r="M185" s="43"/>
      <c r="N185" s="43"/>
      <c r="O185" s="43"/>
      <c r="P185" s="43"/>
      <c r="Q185" s="43"/>
      <c r="R185" s="43"/>
      <c r="S185" s="43"/>
      <c r="T185" s="43"/>
      <c r="U185" s="41"/>
      <c r="V185" s="41"/>
      <c r="W185" s="41"/>
      <c r="X185" s="41"/>
      <c r="Y185" s="41"/>
      <c r="Z185" s="492"/>
      <c r="AA185" s="533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</row>
    <row r="186" spans="1:46" s="2" customFormat="1" x14ac:dyDescent="0.25">
      <c r="A186" s="26" t="s">
        <v>95</v>
      </c>
      <c r="B186" s="26" t="s">
        <v>97</v>
      </c>
      <c r="C186" s="306"/>
      <c r="D186" s="33" t="s">
        <v>3</v>
      </c>
      <c r="E186" s="34">
        <v>38047</v>
      </c>
      <c r="F186" s="34" t="s">
        <v>283</v>
      </c>
      <c r="G186" s="35" t="s">
        <v>68</v>
      </c>
      <c r="H186" s="35"/>
      <c r="I186" s="35"/>
      <c r="J186" s="2" t="s">
        <v>1</v>
      </c>
      <c r="K186" s="27">
        <v>11820000</v>
      </c>
      <c r="L186" s="4">
        <v>1125000</v>
      </c>
      <c r="M186" s="4">
        <v>1110000</v>
      </c>
      <c r="N186" s="4">
        <v>1110000</v>
      </c>
      <c r="O186" s="4">
        <v>1110000</v>
      </c>
      <c r="P186" s="283">
        <v>1105000</v>
      </c>
      <c r="Q186" s="283">
        <v>1095000</v>
      </c>
      <c r="R186" s="367" t="s">
        <v>11</v>
      </c>
      <c r="S186" s="283"/>
      <c r="T186" s="283"/>
      <c r="Z186" s="490"/>
      <c r="AA186" s="60"/>
    </row>
    <row r="187" spans="1:46" s="2" customFormat="1" x14ac:dyDescent="0.25">
      <c r="B187" s="26"/>
      <c r="C187" s="306"/>
      <c r="D187" s="33"/>
      <c r="E187" s="34" t="s">
        <v>13</v>
      </c>
      <c r="F187" s="34"/>
      <c r="G187" s="35"/>
      <c r="H187" s="35"/>
      <c r="I187" s="35"/>
      <c r="J187" s="17" t="s">
        <v>2</v>
      </c>
      <c r="K187" s="28">
        <v>3661828.06</v>
      </c>
      <c r="L187" s="11">
        <v>293375</v>
      </c>
      <c r="M187" s="11">
        <v>248750</v>
      </c>
      <c r="N187" s="11">
        <f>110500+82750</f>
        <v>193250</v>
      </c>
      <c r="O187" s="11">
        <f>82750+55000</f>
        <v>137750</v>
      </c>
      <c r="P187" s="142">
        <f>55000+27375</f>
        <v>82375</v>
      </c>
      <c r="Q187" s="142">
        <v>27375</v>
      </c>
      <c r="R187" s="368" t="s">
        <v>11</v>
      </c>
      <c r="S187" s="142"/>
      <c r="T187" s="142"/>
      <c r="U187" s="17"/>
      <c r="V187" s="17"/>
      <c r="W187" s="17"/>
      <c r="X187" s="17"/>
      <c r="Y187" s="17"/>
      <c r="Z187" s="491"/>
      <c r="AA187" s="532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</row>
    <row r="188" spans="1:46" s="6" customFormat="1" ht="13.8" thickBot="1" x14ac:dyDescent="0.3">
      <c r="A188" s="120"/>
      <c r="B188" s="120"/>
      <c r="C188" s="307"/>
      <c r="D188" s="85"/>
      <c r="E188" s="86" t="s">
        <v>161</v>
      </c>
      <c r="F188" s="86" t="s">
        <v>410</v>
      </c>
      <c r="G188" s="125"/>
      <c r="H188" s="125"/>
      <c r="I188" s="125"/>
      <c r="J188" s="41" t="s">
        <v>6</v>
      </c>
      <c r="K188" s="42">
        <f>K187+K186</f>
        <v>15481828.060000001</v>
      </c>
      <c r="L188" s="43">
        <f>L187+L186</f>
        <v>1418375</v>
      </c>
      <c r="M188" s="43">
        <f t="shared" ref="M188:N188" si="133">M187+M186</f>
        <v>1358750</v>
      </c>
      <c r="N188" s="43">
        <f t="shared" si="133"/>
        <v>1303250</v>
      </c>
      <c r="O188" s="43">
        <f>O187+O186</f>
        <v>1247750</v>
      </c>
      <c r="P188" s="43">
        <f>P187+P186</f>
        <v>1187375</v>
      </c>
      <c r="Q188" s="43">
        <f>Q187+Q186</f>
        <v>1122375</v>
      </c>
      <c r="R188" s="41" t="s">
        <v>11</v>
      </c>
      <c r="S188" s="43"/>
      <c r="T188" s="43"/>
      <c r="U188" s="41"/>
      <c r="V188" s="41"/>
      <c r="W188" s="41"/>
      <c r="X188" s="41"/>
      <c r="Y188" s="41"/>
      <c r="Z188" s="492"/>
      <c r="AA188" s="533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</row>
    <row r="189" spans="1:46" s="2" customFormat="1" x14ac:dyDescent="0.25">
      <c r="A189" s="26" t="s">
        <v>95</v>
      </c>
      <c r="B189" s="26" t="s">
        <v>96</v>
      </c>
      <c r="C189" s="306"/>
      <c r="D189" s="33" t="s">
        <v>3</v>
      </c>
      <c r="E189" s="34">
        <v>38047</v>
      </c>
      <c r="F189" s="34" t="s">
        <v>283</v>
      </c>
      <c r="G189" s="35" t="s">
        <v>91</v>
      </c>
      <c r="H189" s="35"/>
      <c r="I189" s="35"/>
      <c r="J189" s="2" t="s">
        <v>1</v>
      </c>
      <c r="K189" s="27">
        <v>286000</v>
      </c>
      <c r="L189" s="4">
        <v>30000</v>
      </c>
      <c r="M189" s="4">
        <v>30000</v>
      </c>
      <c r="N189" s="4">
        <v>30000</v>
      </c>
      <c r="O189" s="4">
        <v>30000</v>
      </c>
      <c r="P189" s="283">
        <v>30000</v>
      </c>
      <c r="Q189" s="283">
        <v>30000</v>
      </c>
      <c r="R189" s="283">
        <v>30000</v>
      </c>
      <c r="S189" s="367" t="s">
        <v>11</v>
      </c>
      <c r="T189" s="283"/>
      <c r="U189" s="283"/>
      <c r="Z189" s="490"/>
      <c r="AA189" s="60"/>
    </row>
    <row r="190" spans="1:46" s="2" customFormat="1" x14ac:dyDescent="0.25">
      <c r="A190" s="26"/>
      <c r="B190" s="26"/>
      <c r="C190" s="306"/>
      <c r="D190" s="33"/>
      <c r="E190" s="34" t="s">
        <v>12</v>
      </c>
      <c r="F190" s="34"/>
      <c r="G190" s="35"/>
      <c r="H190" s="35"/>
      <c r="I190" s="35"/>
      <c r="J190" s="17" t="s">
        <v>2</v>
      </c>
      <c r="K190" s="28">
        <v>110430.63</v>
      </c>
      <c r="L190" s="11">
        <v>9150</v>
      </c>
      <c r="M190" s="11">
        <v>7950</v>
      </c>
      <c r="N190" s="11">
        <f>3600+2850</f>
        <v>6450</v>
      </c>
      <c r="O190" s="11">
        <f>2850+2100</f>
        <v>4950</v>
      </c>
      <c r="P190" s="142">
        <f>2100+1350</f>
        <v>3450</v>
      </c>
      <c r="Q190" s="142">
        <f>1350+600</f>
        <v>1950</v>
      </c>
      <c r="R190" s="142">
        <v>600</v>
      </c>
      <c r="S190" s="368" t="s">
        <v>11</v>
      </c>
      <c r="T190" s="142"/>
      <c r="U190" s="142"/>
      <c r="V190" s="17"/>
      <c r="W190" s="17"/>
      <c r="X190" s="17"/>
      <c r="Y190" s="17"/>
      <c r="Z190" s="491"/>
      <c r="AA190" s="532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</row>
    <row r="191" spans="1:46" s="6" customFormat="1" ht="13.8" thickBot="1" x14ac:dyDescent="0.3">
      <c r="A191" s="120"/>
      <c r="B191" s="120"/>
      <c r="C191" s="307"/>
      <c r="D191" s="85"/>
      <c r="E191" s="86" t="s">
        <v>161</v>
      </c>
      <c r="F191" s="86" t="s">
        <v>410</v>
      </c>
      <c r="G191" s="125"/>
      <c r="H191" s="125"/>
      <c r="I191" s="125"/>
      <c r="J191" s="41" t="s">
        <v>6</v>
      </c>
      <c r="K191" s="42">
        <f>K190+K189</f>
        <v>396430.63</v>
      </c>
      <c r="L191" s="43">
        <f>L190+L189</f>
        <v>39150</v>
      </c>
      <c r="M191" s="43">
        <f t="shared" ref="M191:N191" si="134">M190+M189</f>
        <v>37950</v>
      </c>
      <c r="N191" s="43">
        <f t="shared" si="134"/>
        <v>36450</v>
      </c>
      <c r="O191" s="43">
        <f>O190+O189</f>
        <v>34950</v>
      </c>
      <c r="P191" s="43">
        <f>P190+P189</f>
        <v>33450</v>
      </c>
      <c r="Q191" s="43">
        <f>Q190+Q189</f>
        <v>31950</v>
      </c>
      <c r="R191" s="43">
        <f>R190+R189</f>
        <v>30600</v>
      </c>
      <c r="S191" s="41" t="s">
        <v>11</v>
      </c>
      <c r="T191" s="43"/>
      <c r="U191" s="43"/>
      <c r="V191" s="41"/>
      <c r="W191" s="41"/>
      <c r="X191" s="41"/>
      <c r="Y191" s="41"/>
      <c r="Z191" s="492"/>
      <c r="AA191" s="533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</row>
    <row r="192" spans="1:46" s="2" customFormat="1" x14ac:dyDescent="0.25">
      <c r="A192" s="26" t="s">
        <v>95</v>
      </c>
      <c r="B192" s="26" t="s">
        <v>97</v>
      </c>
      <c r="C192" s="306"/>
      <c r="D192" s="33" t="s">
        <v>3</v>
      </c>
      <c r="E192" s="34">
        <v>38047</v>
      </c>
      <c r="F192" s="34" t="s">
        <v>283</v>
      </c>
      <c r="G192" s="35" t="s">
        <v>71</v>
      </c>
      <c r="H192" s="35"/>
      <c r="I192" s="35"/>
      <c r="J192" s="2" t="s">
        <v>1</v>
      </c>
      <c r="K192" s="27">
        <v>51000</v>
      </c>
      <c r="L192" s="4">
        <v>5000</v>
      </c>
      <c r="M192" s="4">
        <v>5000</v>
      </c>
      <c r="N192" s="4">
        <v>5000</v>
      </c>
      <c r="O192" s="4">
        <v>5000</v>
      </c>
      <c r="P192" s="283">
        <v>5000</v>
      </c>
      <c r="Q192" s="283">
        <v>5000</v>
      </c>
      <c r="R192" s="283">
        <v>5000</v>
      </c>
      <c r="S192" s="283">
        <v>5000</v>
      </c>
      <c r="T192" s="367" t="s">
        <v>11</v>
      </c>
      <c r="U192" s="283"/>
      <c r="Z192" s="490"/>
      <c r="AA192" s="60"/>
    </row>
    <row r="193" spans="1:46" s="2" customFormat="1" x14ac:dyDescent="0.25">
      <c r="A193" s="400"/>
      <c r="B193" s="26"/>
      <c r="C193" s="306"/>
      <c r="D193" s="33"/>
      <c r="E193" s="34" t="s">
        <v>13</v>
      </c>
      <c r="F193" s="34"/>
      <c r="G193" s="35"/>
      <c r="H193" s="35"/>
      <c r="I193" s="35"/>
      <c r="J193" s="17" t="s">
        <v>2</v>
      </c>
      <c r="K193" s="28">
        <v>21099.89</v>
      </c>
      <c r="L193" s="11">
        <v>1725</v>
      </c>
      <c r="M193" s="11">
        <v>1525</v>
      </c>
      <c r="N193" s="11">
        <f>700+575</f>
        <v>1275</v>
      </c>
      <c r="O193" s="11">
        <f>575+450</f>
        <v>1025</v>
      </c>
      <c r="P193" s="142">
        <f>450+325</f>
        <v>775</v>
      </c>
      <c r="Q193" s="142">
        <f>325+200</f>
        <v>525</v>
      </c>
      <c r="R193" s="142">
        <f>200+100</f>
        <v>300</v>
      </c>
      <c r="S193" s="142">
        <v>100</v>
      </c>
      <c r="T193" s="368" t="s">
        <v>11</v>
      </c>
      <c r="U193" s="142"/>
      <c r="V193" s="17"/>
      <c r="W193" s="17"/>
      <c r="X193" s="17"/>
      <c r="Y193" s="17"/>
      <c r="Z193" s="491"/>
      <c r="AA193" s="532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</row>
    <row r="194" spans="1:46" s="6" customFormat="1" ht="13.8" thickBot="1" x14ac:dyDescent="0.3">
      <c r="A194" s="120"/>
      <c r="B194" s="120"/>
      <c r="C194" s="307"/>
      <c r="D194" s="85"/>
      <c r="E194" s="86" t="s">
        <v>161</v>
      </c>
      <c r="F194" s="86" t="s">
        <v>410</v>
      </c>
      <c r="G194" s="125"/>
      <c r="H194" s="125"/>
      <c r="I194" s="125"/>
      <c r="J194" s="41" t="s">
        <v>6</v>
      </c>
      <c r="K194" s="42">
        <f>K193+K192</f>
        <v>72099.89</v>
      </c>
      <c r="L194" s="43">
        <f>L193+L192</f>
        <v>6725</v>
      </c>
      <c r="M194" s="43">
        <f t="shared" ref="M194:S194" si="135">M193+M192</f>
        <v>6525</v>
      </c>
      <c r="N194" s="43">
        <f t="shared" si="135"/>
        <v>6275</v>
      </c>
      <c r="O194" s="43">
        <f t="shared" si="135"/>
        <v>6025</v>
      </c>
      <c r="P194" s="43">
        <f t="shared" si="135"/>
        <v>5775</v>
      </c>
      <c r="Q194" s="43">
        <f t="shared" si="135"/>
        <v>5525</v>
      </c>
      <c r="R194" s="43">
        <f t="shared" si="135"/>
        <v>5300</v>
      </c>
      <c r="S194" s="43">
        <f t="shared" si="135"/>
        <v>5100</v>
      </c>
      <c r="T194" s="41" t="s">
        <v>11</v>
      </c>
      <c r="U194" s="43"/>
      <c r="V194" s="41"/>
      <c r="W194" s="41"/>
      <c r="X194" s="41"/>
      <c r="Y194" s="41"/>
      <c r="Z194" s="492"/>
      <c r="AA194" s="533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</row>
    <row r="195" spans="1:46" s="2" customFormat="1" x14ac:dyDescent="0.25">
      <c r="A195" s="26" t="s">
        <v>95</v>
      </c>
      <c r="B195" s="26" t="s">
        <v>97</v>
      </c>
      <c r="C195" s="306"/>
      <c r="D195" s="33" t="s">
        <v>3</v>
      </c>
      <c r="E195" s="34">
        <v>38047</v>
      </c>
      <c r="F195" s="34" t="s">
        <v>283</v>
      </c>
      <c r="G195" s="35" t="s">
        <v>72</v>
      </c>
      <c r="H195" s="35"/>
      <c r="I195" s="35"/>
      <c r="J195" s="2" t="s">
        <v>1</v>
      </c>
      <c r="K195" s="27">
        <v>623000</v>
      </c>
      <c r="L195" s="4">
        <v>60000</v>
      </c>
      <c r="M195" s="4">
        <v>60000</v>
      </c>
      <c r="N195" s="4">
        <v>60000</v>
      </c>
      <c r="O195" s="4">
        <v>60000</v>
      </c>
      <c r="P195" s="283">
        <v>60000</v>
      </c>
      <c r="Q195" s="283">
        <v>60000</v>
      </c>
      <c r="R195" s="283">
        <v>60000</v>
      </c>
      <c r="S195" s="283">
        <v>60000</v>
      </c>
      <c r="T195" s="367" t="s">
        <v>11</v>
      </c>
      <c r="U195" s="283"/>
      <c r="Z195" s="490"/>
      <c r="AA195" s="60"/>
    </row>
    <row r="196" spans="1:46" s="2" customFormat="1" x14ac:dyDescent="0.25">
      <c r="A196" s="400"/>
      <c r="B196" s="26"/>
      <c r="C196" s="306"/>
      <c r="D196" s="33"/>
      <c r="E196" s="34" t="s">
        <v>13</v>
      </c>
      <c r="F196" s="34"/>
      <c r="G196" s="35"/>
      <c r="H196" s="35"/>
      <c r="I196" s="35"/>
      <c r="J196" s="17" t="s">
        <v>2</v>
      </c>
      <c r="K196" s="28">
        <v>254686.67</v>
      </c>
      <c r="L196" s="11">
        <v>20700</v>
      </c>
      <c r="M196" s="11">
        <v>18300</v>
      </c>
      <c r="N196" s="11">
        <f>8400+6900</f>
        <v>15300</v>
      </c>
      <c r="O196" s="11">
        <f>6900+5400</f>
        <v>12300</v>
      </c>
      <c r="P196" s="142">
        <f>5400+3900</f>
        <v>9300</v>
      </c>
      <c r="Q196" s="142">
        <f>3900+2400</f>
        <v>6300</v>
      </c>
      <c r="R196" s="142">
        <f>2400+1200</f>
        <v>3600</v>
      </c>
      <c r="S196" s="142">
        <v>1200</v>
      </c>
      <c r="T196" s="368" t="s">
        <v>11</v>
      </c>
      <c r="U196" s="142"/>
      <c r="V196" s="17"/>
      <c r="W196" s="17"/>
      <c r="X196" s="17"/>
      <c r="Y196" s="17"/>
      <c r="Z196" s="491"/>
      <c r="AA196" s="532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</row>
    <row r="197" spans="1:46" s="6" customFormat="1" ht="13.8" thickBot="1" x14ac:dyDescent="0.3">
      <c r="A197" s="120"/>
      <c r="B197" s="120"/>
      <c r="C197" s="307"/>
      <c r="D197" s="85"/>
      <c r="E197" s="86" t="s">
        <v>161</v>
      </c>
      <c r="F197" s="86" t="s">
        <v>410</v>
      </c>
      <c r="G197" s="125"/>
      <c r="H197" s="125"/>
      <c r="I197" s="125"/>
      <c r="J197" s="41" t="s">
        <v>6</v>
      </c>
      <c r="K197" s="42">
        <f>K196+K195</f>
        <v>877686.67</v>
      </c>
      <c r="L197" s="43">
        <f>L196+L195</f>
        <v>80700</v>
      </c>
      <c r="M197" s="43">
        <f t="shared" ref="M197:S197" si="136">M196+M195</f>
        <v>78300</v>
      </c>
      <c r="N197" s="43">
        <f t="shared" si="136"/>
        <v>75300</v>
      </c>
      <c r="O197" s="43">
        <f t="shared" si="136"/>
        <v>72300</v>
      </c>
      <c r="P197" s="43">
        <f t="shared" si="136"/>
        <v>69300</v>
      </c>
      <c r="Q197" s="43">
        <f t="shared" si="136"/>
        <v>66300</v>
      </c>
      <c r="R197" s="43">
        <f t="shared" si="136"/>
        <v>63600</v>
      </c>
      <c r="S197" s="43">
        <f t="shared" si="136"/>
        <v>61200</v>
      </c>
      <c r="T197" s="41" t="s">
        <v>11</v>
      </c>
      <c r="U197" s="43"/>
      <c r="V197" s="41"/>
      <c r="W197" s="41"/>
      <c r="X197" s="41"/>
      <c r="Y197" s="41"/>
      <c r="Z197" s="492"/>
      <c r="AA197" s="533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</row>
    <row r="198" spans="1:46" s="2" customFormat="1" x14ac:dyDescent="0.25">
      <c r="A198" s="26"/>
      <c r="B198" s="26" t="s">
        <v>96</v>
      </c>
      <c r="C198" s="306"/>
      <c r="D198" s="33" t="s">
        <v>3</v>
      </c>
      <c r="E198" s="34">
        <v>38047</v>
      </c>
      <c r="F198" s="34" t="s">
        <v>283</v>
      </c>
      <c r="G198" s="35" t="s">
        <v>77</v>
      </c>
      <c r="H198" s="35"/>
      <c r="I198" s="35"/>
      <c r="J198" s="2" t="s">
        <v>1</v>
      </c>
      <c r="K198" s="27">
        <v>25000</v>
      </c>
      <c r="L198" s="4">
        <v>5000</v>
      </c>
      <c r="M198" s="4">
        <v>5000</v>
      </c>
      <c r="N198" s="4">
        <v>5000</v>
      </c>
      <c r="O198" s="2" t="s">
        <v>11</v>
      </c>
      <c r="P198" s="283"/>
      <c r="Q198" s="283"/>
      <c r="R198" s="283"/>
      <c r="S198" s="283"/>
      <c r="T198" s="283"/>
      <c r="U198" s="283"/>
      <c r="Z198" s="490"/>
      <c r="AA198" s="60"/>
    </row>
    <row r="199" spans="1:46" s="2" customFormat="1" x14ac:dyDescent="0.25">
      <c r="A199" s="26"/>
      <c r="B199" s="26"/>
      <c r="C199" s="306"/>
      <c r="D199" s="33"/>
      <c r="E199" s="34" t="s">
        <v>12</v>
      </c>
      <c r="F199" s="34"/>
      <c r="G199" s="35"/>
      <c r="H199" s="35"/>
      <c r="I199" s="35"/>
      <c r="J199" s="17" t="s">
        <v>2</v>
      </c>
      <c r="K199" s="28">
        <v>7016.25</v>
      </c>
      <c r="L199" s="11">
        <v>575</v>
      </c>
      <c r="M199" s="11">
        <v>375</v>
      </c>
      <c r="N199" s="11">
        <v>125</v>
      </c>
      <c r="O199" s="17" t="s">
        <v>11</v>
      </c>
      <c r="P199" s="142"/>
      <c r="Q199" s="142"/>
      <c r="R199" s="142"/>
      <c r="S199" s="142"/>
      <c r="T199" s="142"/>
      <c r="U199" s="142"/>
      <c r="V199" s="17"/>
      <c r="W199" s="17"/>
      <c r="X199" s="17"/>
      <c r="Y199" s="17"/>
      <c r="Z199" s="491"/>
      <c r="AA199" s="532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</row>
    <row r="200" spans="1:46" s="6" customFormat="1" ht="13.8" thickBot="1" x14ac:dyDescent="0.3">
      <c r="A200" s="120"/>
      <c r="B200" s="120"/>
      <c r="C200" s="307"/>
      <c r="D200" s="85"/>
      <c r="E200" s="86" t="s">
        <v>14</v>
      </c>
      <c r="F200" s="86" t="s">
        <v>410</v>
      </c>
      <c r="G200" s="125"/>
      <c r="H200" s="125"/>
      <c r="I200" s="125"/>
      <c r="J200" s="41" t="s">
        <v>6</v>
      </c>
      <c r="K200" s="42">
        <f>K199+K198</f>
        <v>32016.25</v>
      </c>
      <c r="L200" s="43">
        <f>L199+L198</f>
        <v>5575</v>
      </c>
      <c r="M200" s="43">
        <f t="shared" ref="M200:N200" si="137">M199+M198</f>
        <v>5375</v>
      </c>
      <c r="N200" s="43">
        <f t="shared" si="137"/>
        <v>5125</v>
      </c>
      <c r="O200" s="41" t="s">
        <v>11</v>
      </c>
      <c r="P200" s="43"/>
      <c r="Q200" s="43"/>
      <c r="R200" s="43"/>
      <c r="S200" s="43"/>
      <c r="T200" s="43"/>
      <c r="U200" s="43"/>
      <c r="V200" s="41"/>
      <c r="W200" s="41"/>
      <c r="X200" s="41"/>
      <c r="Y200" s="41"/>
      <c r="Z200" s="492"/>
      <c r="AA200" s="533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</row>
    <row r="201" spans="1:46" s="2" customFormat="1" x14ac:dyDescent="0.25">
      <c r="A201" s="26"/>
      <c r="B201" s="26" t="s">
        <v>96</v>
      </c>
      <c r="C201" s="306"/>
      <c r="D201" s="33" t="s">
        <v>3</v>
      </c>
      <c r="E201" s="34">
        <v>38047</v>
      </c>
      <c r="F201" s="34" t="s">
        <v>283</v>
      </c>
      <c r="G201" s="35" t="s">
        <v>82</v>
      </c>
      <c r="H201" s="35"/>
      <c r="I201" s="35"/>
      <c r="J201" s="2" t="s">
        <v>1</v>
      </c>
      <c r="K201" s="27">
        <v>10000</v>
      </c>
      <c r="L201" s="2" t="s">
        <v>43</v>
      </c>
      <c r="M201" s="4"/>
      <c r="N201" s="4"/>
      <c r="O201" s="4"/>
      <c r="P201" s="283"/>
      <c r="Q201" s="283"/>
      <c r="R201" s="283"/>
      <c r="S201" s="283"/>
      <c r="T201" s="283"/>
      <c r="U201" s="283"/>
      <c r="Z201" s="490"/>
      <c r="AA201" s="60"/>
    </row>
    <row r="202" spans="1:46" s="2" customFormat="1" x14ac:dyDescent="0.25">
      <c r="A202" s="26"/>
      <c r="B202" s="26"/>
      <c r="C202" s="306"/>
      <c r="D202" s="33"/>
      <c r="E202" s="34" t="s">
        <v>12</v>
      </c>
      <c r="F202" s="34"/>
      <c r="G202" s="35"/>
      <c r="H202" s="35"/>
      <c r="I202" s="35"/>
      <c r="J202" s="17" t="s">
        <v>2</v>
      </c>
      <c r="K202" s="28">
        <v>1474.31</v>
      </c>
      <c r="L202" s="17" t="s">
        <v>43</v>
      </c>
      <c r="M202" s="11"/>
      <c r="N202" s="11"/>
      <c r="O202" s="11"/>
      <c r="P202" s="142"/>
      <c r="Q202" s="142"/>
      <c r="R202" s="142"/>
      <c r="S202" s="142"/>
      <c r="T202" s="142"/>
      <c r="U202" s="142"/>
      <c r="V202" s="17"/>
      <c r="W202" s="17"/>
      <c r="X202" s="17"/>
      <c r="Y202" s="17"/>
      <c r="Z202" s="491"/>
      <c r="AA202" s="532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</row>
    <row r="203" spans="1:46" s="6" customFormat="1" ht="13.8" thickBot="1" x14ac:dyDescent="0.3">
      <c r="A203" s="120"/>
      <c r="B203" s="120"/>
      <c r="C203" s="307"/>
      <c r="D203" s="85"/>
      <c r="E203" s="86" t="s">
        <v>15</v>
      </c>
      <c r="F203" s="86" t="s">
        <v>410</v>
      </c>
      <c r="G203" s="125"/>
      <c r="H203" s="125"/>
      <c r="I203" s="125"/>
      <c r="J203" s="41" t="s">
        <v>6</v>
      </c>
      <c r="K203" s="42">
        <f>K202+K201</f>
        <v>11474.31</v>
      </c>
      <c r="L203" s="41" t="s">
        <v>43</v>
      </c>
      <c r="M203" s="43"/>
      <c r="N203" s="43"/>
      <c r="O203" s="43"/>
      <c r="P203" s="43"/>
      <c r="Q203" s="43"/>
      <c r="R203" s="43"/>
      <c r="S203" s="43"/>
      <c r="T203" s="43"/>
      <c r="U203" s="43"/>
      <c r="V203" s="41"/>
      <c r="W203" s="41"/>
      <c r="X203" s="41"/>
      <c r="Y203" s="41"/>
      <c r="Z203" s="492"/>
      <c r="AA203" s="533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</row>
    <row r="204" spans="1:46" s="2" customFormat="1" x14ac:dyDescent="0.25">
      <c r="A204" s="26"/>
      <c r="B204" s="26" t="s">
        <v>96</v>
      </c>
      <c r="C204" s="306"/>
      <c r="D204" s="33" t="s">
        <v>3</v>
      </c>
      <c r="E204" s="34">
        <v>38047</v>
      </c>
      <c r="F204" s="34" t="s">
        <v>283</v>
      </c>
      <c r="G204" s="35" t="s">
        <v>92</v>
      </c>
      <c r="H204" s="35"/>
      <c r="I204" s="35"/>
      <c r="J204" s="2" t="s">
        <v>1</v>
      </c>
      <c r="K204" s="27">
        <v>10000</v>
      </c>
      <c r="L204" s="2" t="s">
        <v>43</v>
      </c>
      <c r="M204" s="4"/>
      <c r="N204" s="4"/>
      <c r="O204" s="4"/>
      <c r="P204" s="283"/>
      <c r="Q204" s="283"/>
      <c r="R204" s="283"/>
      <c r="S204" s="283"/>
      <c r="T204" s="283"/>
      <c r="U204" s="283"/>
      <c r="Z204" s="490"/>
      <c r="AA204" s="60"/>
    </row>
    <row r="205" spans="1:46" s="2" customFormat="1" x14ac:dyDescent="0.25">
      <c r="A205" s="26"/>
      <c r="B205" s="26"/>
      <c r="C205" s="306"/>
      <c r="D205" s="33"/>
      <c r="E205" s="34" t="s">
        <v>12</v>
      </c>
      <c r="F205" s="34"/>
      <c r="G205" s="35"/>
      <c r="H205" s="35"/>
      <c r="I205" s="35"/>
      <c r="J205" s="17" t="s">
        <v>2</v>
      </c>
      <c r="K205" s="28">
        <v>1474.31</v>
      </c>
      <c r="L205" s="17" t="s">
        <v>43</v>
      </c>
      <c r="M205" s="11"/>
      <c r="N205" s="11"/>
      <c r="O205" s="11"/>
      <c r="P205" s="142"/>
      <c r="Q205" s="142"/>
      <c r="R205" s="142"/>
      <c r="S205" s="142"/>
      <c r="T205" s="142"/>
      <c r="U205" s="142"/>
      <c r="V205" s="17"/>
      <c r="W205" s="17"/>
      <c r="X205" s="17"/>
      <c r="Y205" s="17"/>
      <c r="Z205" s="491"/>
      <c r="AA205" s="532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</row>
    <row r="206" spans="1:46" s="6" customFormat="1" ht="13.8" thickBot="1" x14ac:dyDescent="0.3">
      <c r="A206" s="120"/>
      <c r="B206" s="120"/>
      <c r="C206" s="307"/>
      <c r="D206" s="85"/>
      <c r="E206" s="86" t="s">
        <v>161</v>
      </c>
      <c r="F206" s="86" t="s">
        <v>410</v>
      </c>
      <c r="G206" s="125"/>
      <c r="H206" s="125"/>
      <c r="I206" s="125"/>
      <c r="J206" s="41" t="s">
        <v>6</v>
      </c>
      <c r="K206" s="42">
        <f>K205+K204</f>
        <v>11474.31</v>
      </c>
      <c r="L206" s="41" t="s">
        <v>43</v>
      </c>
      <c r="M206" s="43"/>
      <c r="N206" s="43"/>
      <c r="O206" s="43"/>
      <c r="P206" s="43"/>
      <c r="Q206" s="43"/>
      <c r="R206" s="43"/>
      <c r="S206" s="43"/>
      <c r="T206" s="43"/>
      <c r="U206" s="43"/>
      <c r="V206" s="41"/>
      <c r="W206" s="41"/>
      <c r="X206" s="41"/>
      <c r="Y206" s="41"/>
      <c r="Z206" s="492"/>
      <c r="AA206" s="533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</row>
    <row r="207" spans="1:46" s="2" customFormat="1" x14ac:dyDescent="0.25">
      <c r="A207" s="26"/>
      <c r="B207" s="26" t="s">
        <v>96</v>
      </c>
      <c r="C207" s="306"/>
      <c r="D207" s="33" t="s">
        <v>3</v>
      </c>
      <c r="E207" s="34">
        <v>38047</v>
      </c>
      <c r="F207" s="34" t="s">
        <v>283</v>
      </c>
      <c r="G207" s="35" t="s">
        <v>83</v>
      </c>
      <c r="H207" s="35"/>
      <c r="I207" s="35"/>
      <c r="J207" s="2" t="s">
        <v>1</v>
      </c>
      <c r="K207" s="27">
        <v>20000</v>
      </c>
      <c r="L207" s="4">
        <v>5000</v>
      </c>
      <c r="M207" s="4">
        <v>5000</v>
      </c>
      <c r="N207" s="4">
        <v>5000</v>
      </c>
      <c r="O207" s="2" t="s">
        <v>11</v>
      </c>
      <c r="P207" s="283"/>
      <c r="Q207" s="283"/>
      <c r="R207" s="283"/>
      <c r="S207" s="283"/>
      <c r="T207" s="283"/>
      <c r="U207" s="283"/>
      <c r="Z207" s="490"/>
      <c r="AA207" s="60"/>
    </row>
    <row r="208" spans="1:46" s="2" customFormat="1" x14ac:dyDescent="0.25">
      <c r="A208" s="26"/>
      <c r="B208" s="26"/>
      <c r="C208" s="306"/>
      <c r="D208" s="33"/>
      <c r="E208" s="34" t="s">
        <v>12</v>
      </c>
      <c r="F208" s="34"/>
      <c r="G208" s="35"/>
      <c r="H208" s="35"/>
      <c r="I208" s="35"/>
      <c r="J208" s="17" t="s">
        <v>2</v>
      </c>
      <c r="K208" s="28">
        <v>6378.3</v>
      </c>
      <c r="L208" s="11">
        <v>575</v>
      </c>
      <c r="M208" s="11">
        <v>375</v>
      </c>
      <c r="N208" s="11">
        <v>125</v>
      </c>
      <c r="O208" s="17" t="s">
        <v>11</v>
      </c>
      <c r="P208" s="142"/>
      <c r="Q208" s="142"/>
      <c r="R208" s="142"/>
      <c r="S208" s="142"/>
      <c r="T208" s="142"/>
      <c r="U208" s="142"/>
      <c r="V208" s="17"/>
      <c r="W208" s="17"/>
      <c r="X208" s="17"/>
      <c r="Y208" s="17"/>
      <c r="Z208" s="491"/>
      <c r="AA208" s="532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</row>
    <row r="209" spans="1:46" s="6" customFormat="1" ht="13.8" thickBot="1" x14ac:dyDescent="0.3">
      <c r="A209" s="120"/>
      <c r="B209" s="120"/>
      <c r="C209" s="307"/>
      <c r="D209" s="85"/>
      <c r="E209" s="86" t="s">
        <v>15</v>
      </c>
      <c r="F209" s="86" t="s">
        <v>410</v>
      </c>
      <c r="G209" s="125"/>
      <c r="H209" s="125"/>
      <c r="I209" s="125"/>
      <c r="J209" s="41" t="s">
        <v>6</v>
      </c>
      <c r="K209" s="42">
        <f>K208+K207</f>
        <v>26378.3</v>
      </c>
      <c r="L209" s="43">
        <f>L208+L207</f>
        <v>5575</v>
      </c>
      <c r="M209" s="43">
        <f t="shared" ref="M209:N209" si="138">M208+M207</f>
        <v>5375</v>
      </c>
      <c r="N209" s="43">
        <f t="shared" si="138"/>
        <v>5125</v>
      </c>
      <c r="O209" s="41" t="s">
        <v>11</v>
      </c>
      <c r="P209" s="43"/>
      <c r="Q209" s="43"/>
      <c r="R209" s="43"/>
      <c r="S209" s="43"/>
      <c r="T209" s="43"/>
      <c r="U209" s="43"/>
      <c r="V209" s="41"/>
      <c r="W209" s="41"/>
      <c r="X209" s="41"/>
      <c r="Y209" s="41"/>
      <c r="Z209" s="492"/>
      <c r="AA209" s="533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</row>
    <row r="210" spans="1:46" s="2" customFormat="1" x14ac:dyDescent="0.25">
      <c r="A210" s="26"/>
      <c r="B210" s="26" t="s">
        <v>96</v>
      </c>
      <c r="C210" s="306"/>
      <c r="D210" s="33" t="s">
        <v>3</v>
      </c>
      <c r="E210" s="34">
        <v>38047</v>
      </c>
      <c r="F210" s="34" t="s">
        <v>283</v>
      </c>
      <c r="G210" s="35" t="s">
        <v>84</v>
      </c>
      <c r="H210" s="35"/>
      <c r="I210" s="35"/>
      <c r="J210" s="2" t="s">
        <v>1</v>
      </c>
      <c r="K210" s="27">
        <v>91000</v>
      </c>
      <c r="L210" s="4">
        <v>17000</v>
      </c>
      <c r="M210" s="4">
        <v>15000</v>
      </c>
      <c r="N210" s="4">
        <v>15000</v>
      </c>
      <c r="O210" s="4">
        <v>15000</v>
      </c>
      <c r="P210" s="367" t="s">
        <v>11</v>
      </c>
      <c r="Q210" s="283"/>
      <c r="R210" s="283"/>
      <c r="S210" s="283"/>
      <c r="T210" s="283"/>
      <c r="U210" s="283"/>
      <c r="Z210" s="490"/>
      <c r="AA210" s="60"/>
    </row>
    <row r="211" spans="1:46" s="2" customFormat="1" x14ac:dyDescent="0.25">
      <c r="A211" s="26"/>
      <c r="B211" s="26"/>
      <c r="C211" s="306"/>
      <c r="D211" s="33"/>
      <c r="E211" s="34" t="s">
        <v>12</v>
      </c>
      <c r="F211" s="34"/>
      <c r="G211" s="35"/>
      <c r="H211" s="35"/>
      <c r="I211" s="35"/>
      <c r="J211" s="17" t="s">
        <v>2</v>
      </c>
      <c r="K211" s="28">
        <v>28414.05</v>
      </c>
      <c r="L211" s="11">
        <v>2505</v>
      </c>
      <c r="M211" s="11">
        <v>1875</v>
      </c>
      <c r="N211" s="11">
        <f>750+375</f>
        <v>1125</v>
      </c>
      <c r="O211" s="11">
        <v>375</v>
      </c>
      <c r="P211" s="368" t="s">
        <v>11</v>
      </c>
      <c r="Q211" s="142"/>
      <c r="R211" s="142"/>
      <c r="S211" s="142"/>
      <c r="T211" s="142"/>
      <c r="U211" s="142"/>
      <c r="V211" s="17"/>
      <c r="W211" s="17"/>
      <c r="X211" s="17"/>
      <c r="Y211" s="17"/>
      <c r="Z211" s="491"/>
      <c r="AA211" s="532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</row>
    <row r="212" spans="1:46" s="6" customFormat="1" ht="13.8" thickBot="1" x14ac:dyDescent="0.3">
      <c r="A212" s="120"/>
      <c r="B212" s="120"/>
      <c r="C212" s="307"/>
      <c r="D212" s="85"/>
      <c r="E212" s="86" t="s">
        <v>17</v>
      </c>
      <c r="F212" s="86" t="s">
        <v>410</v>
      </c>
      <c r="G212" s="125"/>
      <c r="H212" s="125"/>
      <c r="I212" s="125"/>
      <c r="J212" s="41" t="s">
        <v>6</v>
      </c>
      <c r="K212" s="42">
        <f>K211+K210</f>
        <v>119414.05</v>
      </c>
      <c r="L212" s="43">
        <f>L211+L210</f>
        <v>19505</v>
      </c>
      <c r="M212" s="43">
        <f t="shared" ref="M212:O212" si="139">M211+M210</f>
        <v>16875</v>
      </c>
      <c r="N212" s="43">
        <f t="shared" si="139"/>
        <v>16125</v>
      </c>
      <c r="O212" s="43">
        <f t="shared" si="139"/>
        <v>15375</v>
      </c>
      <c r="P212" s="41" t="s">
        <v>11</v>
      </c>
      <c r="Q212" s="43"/>
      <c r="R212" s="43"/>
      <c r="S212" s="43"/>
      <c r="T212" s="43"/>
      <c r="U212" s="43"/>
      <c r="V212" s="41"/>
      <c r="W212" s="41"/>
      <c r="X212" s="41"/>
      <c r="Y212" s="41"/>
      <c r="Z212" s="492"/>
      <c r="AA212" s="533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</row>
    <row r="213" spans="1:46" s="3" customFormat="1" x14ac:dyDescent="0.25">
      <c r="A213" s="121"/>
      <c r="B213" s="121"/>
      <c r="C213" s="306"/>
      <c r="D213" s="54"/>
      <c r="E213" s="54"/>
      <c r="F213" s="54"/>
      <c r="G213" s="36" t="s">
        <v>32</v>
      </c>
      <c r="H213" s="152">
        <v>1771619</v>
      </c>
      <c r="I213" s="36">
        <v>591100</v>
      </c>
      <c r="J213" s="33" t="s">
        <v>1</v>
      </c>
      <c r="K213" s="37">
        <f>K210+K207+K204+K201+K198+K195+K192+K189+K186+K183+K180</f>
        <v>15878000</v>
      </c>
      <c r="L213" s="7">
        <f t="shared" ref="L213:N214" si="140">L243+L210+L207+L240+L237+L234+L198+L231+L228+L225+L222+L219+L195+L192+L189+L186+L180+L216</f>
        <v>1743000</v>
      </c>
      <c r="M213" s="7">
        <f t="shared" si="140"/>
        <v>1710000</v>
      </c>
      <c r="N213" s="7">
        <f t="shared" si="140"/>
        <v>1710000</v>
      </c>
      <c r="O213" s="7">
        <f>O243+O210+O240+O237+O234+O231+O228+O225+O222+O219+O195+O192+O189+O186+O180+O216</f>
        <v>1434000</v>
      </c>
      <c r="P213" s="7">
        <f>P195+P192+P189+P186+P180</f>
        <v>1204000</v>
      </c>
      <c r="Q213" s="7">
        <f>Q195+Q192+Q189+Q186</f>
        <v>1190000</v>
      </c>
      <c r="R213" s="7">
        <f>R195+R192+R189</f>
        <v>95000</v>
      </c>
      <c r="S213" s="7">
        <f>S195+S192</f>
        <v>65000</v>
      </c>
      <c r="T213" s="3" t="s">
        <v>11</v>
      </c>
      <c r="Z213" s="104"/>
      <c r="AA213" s="58"/>
    </row>
    <row r="214" spans="1:46" s="3" customFormat="1" x14ac:dyDescent="0.25">
      <c r="A214" s="121"/>
      <c r="B214" s="121"/>
      <c r="C214" s="306"/>
      <c r="D214" s="54"/>
      <c r="E214" s="54"/>
      <c r="F214" s="54"/>
      <c r="G214" s="33"/>
      <c r="H214" s="152">
        <v>1771619</v>
      </c>
      <c r="I214" s="33">
        <v>595100</v>
      </c>
      <c r="J214" s="38" t="s">
        <v>2</v>
      </c>
      <c r="K214" s="37">
        <f>K211+K208+K205+K202+K199+K196+K193+K190+K187+K184+K181</f>
        <v>4666391.99</v>
      </c>
      <c r="L214" s="16">
        <f t="shared" si="140"/>
        <v>410995</v>
      </c>
      <c r="M214" s="16">
        <f t="shared" si="140"/>
        <v>342100</v>
      </c>
      <c r="N214" s="16">
        <f t="shared" si="140"/>
        <v>256600</v>
      </c>
      <c r="O214" s="16">
        <f>O244+O211+O241+O238+O235+O232+O229+O226+O223+O220+O196+O193+O190+O187+O181+O217</f>
        <v>178000</v>
      </c>
      <c r="P214" s="7">
        <f>P196+P193+P190+P187+P181</f>
        <v>96000</v>
      </c>
      <c r="Q214" s="7">
        <f>Q196+Q193+Q190+Q187</f>
        <v>36150</v>
      </c>
      <c r="R214" s="7">
        <f>R196+R193+R190</f>
        <v>4500</v>
      </c>
      <c r="S214" s="7">
        <f>S196+S193</f>
        <v>1300</v>
      </c>
      <c r="T214" s="20" t="s">
        <v>11</v>
      </c>
      <c r="U214" s="20"/>
      <c r="V214" s="20"/>
      <c r="W214" s="20"/>
      <c r="X214" s="20"/>
      <c r="Y214" s="20"/>
      <c r="Z214" s="493"/>
      <c r="AA214" s="63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</row>
    <row r="215" spans="1:46" s="8" customFormat="1" ht="13.8" thickBot="1" x14ac:dyDescent="0.3">
      <c r="A215" s="122"/>
      <c r="B215" s="122"/>
      <c r="C215" s="307"/>
      <c r="D215" s="85"/>
      <c r="E215" s="85"/>
      <c r="F215" s="85"/>
      <c r="G215" s="85"/>
      <c r="H215" s="85"/>
      <c r="I215" s="85"/>
      <c r="J215" s="44" t="s">
        <v>5</v>
      </c>
      <c r="K215" s="45">
        <f>K214+K213</f>
        <v>20544391.990000002</v>
      </c>
      <c r="L215" s="46">
        <f>L214+L213</f>
        <v>2153995</v>
      </c>
      <c r="M215" s="46">
        <f t="shared" ref="M215:S215" si="141">M214+M213</f>
        <v>2052100</v>
      </c>
      <c r="N215" s="46">
        <f t="shared" si="141"/>
        <v>1966600</v>
      </c>
      <c r="O215" s="46">
        <f t="shared" si="141"/>
        <v>1612000</v>
      </c>
      <c r="P215" s="46">
        <f t="shared" si="141"/>
        <v>1300000</v>
      </c>
      <c r="Q215" s="46">
        <f t="shared" si="141"/>
        <v>1226150</v>
      </c>
      <c r="R215" s="46">
        <f t="shared" si="141"/>
        <v>99500</v>
      </c>
      <c r="S215" s="46">
        <f t="shared" si="141"/>
        <v>66300</v>
      </c>
      <c r="T215" s="47" t="s">
        <v>11</v>
      </c>
      <c r="U215" s="47"/>
      <c r="V215" s="47"/>
      <c r="W215" s="47"/>
      <c r="X215" s="47"/>
      <c r="Y215" s="47"/>
      <c r="Z215" s="494"/>
      <c r="AA215" s="65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</row>
    <row r="216" spans="1:46" s="2" customFormat="1" x14ac:dyDescent="0.25">
      <c r="A216" s="26"/>
      <c r="B216" s="26" t="s">
        <v>96</v>
      </c>
      <c r="C216" s="306"/>
      <c r="D216" s="14" t="s">
        <v>0</v>
      </c>
      <c r="E216" s="24">
        <v>38047</v>
      </c>
      <c r="F216" s="24" t="s">
        <v>283</v>
      </c>
      <c r="G216" s="35" t="s">
        <v>65</v>
      </c>
      <c r="H216" s="35"/>
      <c r="I216" s="35"/>
      <c r="J216" s="2" t="s">
        <v>1</v>
      </c>
      <c r="K216" s="27">
        <v>969000</v>
      </c>
      <c r="L216" s="4">
        <v>95000</v>
      </c>
      <c r="M216" s="4">
        <v>88000</v>
      </c>
      <c r="N216" s="4">
        <v>88000</v>
      </c>
      <c r="O216" s="4">
        <v>81000</v>
      </c>
      <c r="P216" s="283">
        <v>65000</v>
      </c>
      <c r="Q216" s="367" t="s">
        <v>11</v>
      </c>
      <c r="R216" s="283"/>
      <c r="S216" s="283"/>
      <c r="T216" s="283"/>
      <c r="Z216" s="490"/>
      <c r="AA216" s="60"/>
    </row>
    <row r="217" spans="1:46" s="2" customFormat="1" x14ac:dyDescent="0.25">
      <c r="A217" s="26"/>
      <c r="B217" s="26"/>
      <c r="C217" s="306"/>
      <c r="D217" s="14"/>
      <c r="E217" s="24" t="s">
        <v>12</v>
      </c>
      <c r="F217" s="24"/>
      <c r="G217" s="15" t="s">
        <v>810</v>
      </c>
      <c r="H217" s="35"/>
      <c r="I217" s="35"/>
      <c r="J217" s="17" t="s">
        <v>2</v>
      </c>
      <c r="K217" s="28">
        <v>229953.19</v>
      </c>
      <c r="L217" s="11">
        <v>17525</v>
      </c>
      <c r="M217" s="11">
        <v>13900</v>
      </c>
      <c r="N217" s="11">
        <f>5850+3650</f>
        <v>9500</v>
      </c>
      <c r="O217" s="11">
        <f>3650+1625</f>
        <v>5275</v>
      </c>
      <c r="P217" s="142">
        <v>1625</v>
      </c>
      <c r="Q217" s="368" t="s">
        <v>11</v>
      </c>
      <c r="R217" s="142"/>
      <c r="S217" s="142"/>
      <c r="T217" s="142"/>
      <c r="U217" s="17"/>
      <c r="V217" s="17"/>
      <c r="W217" s="17"/>
      <c r="X217" s="17"/>
      <c r="Y217" s="17"/>
      <c r="Z217" s="491"/>
      <c r="AA217" s="532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</row>
    <row r="218" spans="1:46" s="6" customFormat="1" ht="13.8" thickBot="1" x14ac:dyDescent="0.3">
      <c r="A218" s="120"/>
      <c r="B218" s="120"/>
      <c r="C218" s="307"/>
      <c r="D218" s="87"/>
      <c r="E218" s="88" t="s">
        <v>14</v>
      </c>
      <c r="F218" s="88" t="s">
        <v>410</v>
      </c>
      <c r="G218" s="125"/>
      <c r="H218" s="125"/>
      <c r="I218" s="125"/>
      <c r="J218" s="41" t="s">
        <v>6</v>
      </c>
      <c r="K218" s="42">
        <f>K217+K216</f>
        <v>1198953.19</v>
      </c>
      <c r="L218" s="43">
        <f>L217+L216</f>
        <v>112525</v>
      </c>
      <c r="M218" s="43">
        <f t="shared" ref="M218" si="142">M217+M216</f>
        <v>101900</v>
      </c>
      <c r="N218" s="43">
        <f>N217+N216</f>
        <v>97500</v>
      </c>
      <c r="O218" s="43">
        <f>O217+O216</f>
        <v>86275</v>
      </c>
      <c r="P218" s="43">
        <f>P217+P216</f>
        <v>66625</v>
      </c>
      <c r="Q218" s="41" t="s">
        <v>11</v>
      </c>
      <c r="R218" s="43"/>
      <c r="S218" s="43"/>
      <c r="T218" s="43"/>
      <c r="U218" s="41"/>
      <c r="V218" s="41"/>
      <c r="W218" s="41"/>
      <c r="X218" s="41"/>
      <c r="Y218" s="41"/>
      <c r="Z218" s="492"/>
      <c r="AA218" s="533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</row>
    <row r="219" spans="1:46" s="2" customFormat="1" x14ac:dyDescent="0.25">
      <c r="A219" s="26" t="s">
        <v>0</v>
      </c>
      <c r="B219" s="26" t="s">
        <v>96</v>
      </c>
      <c r="C219" s="306"/>
      <c r="D219" s="14" t="s">
        <v>0</v>
      </c>
      <c r="E219" s="24">
        <v>38047</v>
      </c>
      <c r="F219" s="24" t="s">
        <v>283</v>
      </c>
      <c r="G219" s="35" t="s">
        <v>73</v>
      </c>
      <c r="H219" s="35"/>
      <c r="I219" s="35"/>
      <c r="J219" s="2" t="s">
        <v>1</v>
      </c>
      <c r="K219" s="27">
        <v>51000</v>
      </c>
      <c r="L219" s="4">
        <v>5000</v>
      </c>
      <c r="M219" s="4">
        <v>5000</v>
      </c>
      <c r="N219" s="4">
        <v>5000</v>
      </c>
      <c r="O219" s="4">
        <v>5000</v>
      </c>
      <c r="P219" s="283">
        <v>5000</v>
      </c>
      <c r="Q219" s="283">
        <v>5000</v>
      </c>
      <c r="R219" s="283">
        <v>5000</v>
      </c>
      <c r="S219" s="283">
        <v>5000</v>
      </c>
      <c r="T219" s="367" t="s">
        <v>11</v>
      </c>
      <c r="U219" s="283"/>
      <c r="Z219" s="490"/>
      <c r="AA219" s="60"/>
    </row>
    <row r="220" spans="1:46" s="2" customFormat="1" x14ac:dyDescent="0.25">
      <c r="A220" s="26"/>
      <c r="B220" s="26"/>
      <c r="C220" s="306"/>
      <c r="D220" s="14"/>
      <c r="E220" s="24" t="s">
        <v>12</v>
      </c>
      <c r="F220" s="24"/>
      <c r="G220" s="15" t="s">
        <v>810</v>
      </c>
      <c r="H220" s="35"/>
      <c r="I220" s="35"/>
      <c r="J220" s="17" t="s">
        <v>2</v>
      </c>
      <c r="K220" s="28">
        <v>21099.89</v>
      </c>
      <c r="L220" s="11">
        <v>1725</v>
      </c>
      <c r="M220" s="11">
        <v>1525</v>
      </c>
      <c r="N220" s="11">
        <f>700+575</f>
        <v>1275</v>
      </c>
      <c r="O220" s="11">
        <f>575+450</f>
        <v>1025</v>
      </c>
      <c r="P220" s="142">
        <f>450+325</f>
        <v>775</v>
      </c>
      <c r="Q220" s="142">
        <f>325+200</f>
        <v>525</v>
      </c>
      <c r="R220" s="142">
        <f>200+100</f>
        <v>300</v>
      </c>
      <c r="S220" s="142">
        <v>100</v>
      </c>
      <c r="T220" s="368" t="s">
        <v>11</v>
      </c>
      <c r="U220" s="142"/>
      <c r="V220" s="17"/>
      <c r="W220" s="17"/>
      <c r="X220" s="17"/>
      <c r="Y220" s="17"/>
      <c r="Z220" s="491"/>
      <c r="AA220" s="532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</row>
    <row r="221" spans="1:46" s="6" customFormat="1" ht="13.8" thickBot="1" x14ac:dyDescent="0.3">
      <c r="A221" s="120"/>
      <c r="B221" s="120"/>
      <c r="C221" s="307"/>
      <c r="D221" s="87"/>
      <c r="E221" s="88" t="s">
        <v>14</v>
      </c>
      <c r="F221" s="88" t="s">
        <v>410</v>
      </c>
      <c r="G221" s="125"/>
      <c r="H221" s="125"/>
      <c r="I221" s="125"/>
      <c r="J221" s="41" t="s">
        <v>6</v>
      </c>
      <c r="K221" s="42">
        <f>K220+K219</f>
        <v>72099.89</v>
      </c>
      <c r="L221" s="43">
        <f>L220+L219</f>
        <v>6725</v>
      </c>
      <c r="M221" s="43">
        <f t="shared" ref="M221" si="143">M220+M219</f>
        <v>6525</v>
      </c>
      <c r="N221" s="43">
        <f t="shared" ref="N221" si="144">N220+N219</f>
        <v>6275</v>
      </c>
      <c r="O221" s="43">
        <f t="shared" ref="O221" si="145">O220+O219</f>
        <v>6025</v>
      </c>
      <c r="P221" s="43">
        <f t="shared" ref="P221" si="146">P220+P219</f>
        <v>5775</v>
      </c>
      <c r="Q221" s="43">
        <f t="shared" ref="Q221" si="147">Q220+Q219</f>
        <v>5525</v>
      </c>
      <c r="R221" s="43">
        <f t="shared" ref="R221" si="148">R220+R219</f>
        <v>5300</v>
      </c>
      <c r="S221" s="43">
        <f t="shared" ref="S221" si="149">S220+S219</f>
        <v>5100</v>
      </c>
      <c r="T221" s="41" t="s">
        <v>11</v>
      </c>
      <c r="U221" s="43"/>
      <c r="V221" s="41"/>
      <c r="W221" s="41"/>
      <c r="X221" s="41"/>
      <c r="Y221" s="41"/>
      <c r="Z221" s="492"/>
      <c r="AA221" s="533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</row>
    <row r="222" spans="1:46" s="2" customFormat="1" x14ac:dyDescent="0.25">
      <c r="A222" s="26" t="s">
        <v>0</v>
      </c>
      <c r="B222" s="26" t="s">
        <v>96</v>
      </c>
      <c r="C222" s="306"/>
      <c r="D222" s="14" t="s">
        <v>0</v>
      </c>
      <c r="E222" s="24">
        <v>38047</v>
      </c>
      <c r="F222" s="24" t="s">
        <v>283</v>
      </c>
      <c r="G222" s="35" t="s">
        <v>74</v>
      </c>
      <c r="H222" s="35"/>
      <c r="I222" s="35"/>
      <c r="J222" s="2" t="s">
        <v>1</v>
      </c>
      <c r="K222" s="27">
        <v>61000</v>
      </c>
      <c r="L222" s="4">
        <v>5000</v>
      </c>
      <c r="M222" s="4">
        <v>5000</v>
      </c>
      <c r="N222" s="4">
        <v>5000</v>
      </c>
      <c r="O222" s="4">
        <v>5000</v>
      </c>
      <c r="P222" s="283">
        <v>5000</v>
      </c>
      <c r="Q222" s="283">
        <v>5000</v>
      </c>
      <c r="R222" s="283">
        <v>5000</v>
      </c>
      <c r="S222" s="283">
        <v>5000</v>
      </c>
      <c r="T222" s="367" t="s">
        <v>11</v>
      </c>
      <c r="U222" s="283"/>
      <c r="Z222" s="490"/>
      <c r="AA222" s="60"/>
    </row>
    <row r="223" spans="1:46" s="2" customFormat="1" x14ac:dyDescent="0.25">
      <c r="A223" s="26"/>
      <c r="B223" s="26"/>
      <c r="C223" s="306"/>
      <c r="D223" s="14"/>
      <c r="E223" s="24" t="s">
        <v>12</v>
      </c>
      <c r="F223" s="24"/>
      <c r="G223" s="15" t="s">
        <v>810</v>
      </c>
      <c r="H223" s="35"/>
      <c r="I223" s="35"/>
      <c r="J223" s="17" t="s">
        <v>2</v>
      </c>
      <c r="K223" s="28">
        <v>22574.19</v>
      </c>
      <c r="L223" s="11">
        <v>1725</v>
      </c>
      <c r="M223" s="11">
        <v>1525</v>
      </c>
      <c r="N223" s="11">
        <f>700+575</f>
        <v>1275</v>
      </c>
      <c r="O223" s="11">
        <f>575+450</f>
        <v>1025</v>
      </c>
      <c r="P223" s="142">
        <f>450+325</f>
        <v>775</v>
      </c>
      <c r="Q223" s="142">
        <f>325+200</f>
        <v>525</v>
      </c>
      <c r="R223" s="142">
        <f>200+100</f>
        <v>300</v>
      </c>
      <c r="S223" s="142">
        <v>100</v>
      </c>
      <c r="T223" s="368" t="s">
        <v>11</v>
      </c>
      <c r="U223" s="142"/>
      <c r="V223" s="17"/>
      <c r="W223" s="17"/>
      <c r="X223" s="17"/>
      <c r="Y223" s="17"/>
      <c r="Z223" s="491"/>
      <c r="AA223" s="532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</row>
    <row r="224" spans="1:46" s="6" customFormat="1" ht="13.8" thickBot="1" x14ac:dyDescent="0.3">
      <c r="A224" s="120"/>
      <c r="B224" s="120"/>
      <c r="C224" s="307"/>
      <c r="D224" s="87"/>
      <c r="E224" s="88" t="s">
        <v>14</v>
      </c>
      <c r="F224" s="88" t="s">
        <v>410</v>
      </c>
      <c r="G224" s="125"/>
      <c r="H224" s="125"/>
      <c r="I224" s="125"/>
      <c r="J224" s="41" t="s">
        <v>6</v>
      </c>
      <c r="K224" s="42">
        <f>K223+K222</f>
        <v>83574.19</v>
      </c>
      <c r="L224" s="43">
        <f>L223+L222</f>
        <v>6725</v>
      </c>
      <c r="M224" s="43">
        <f t="shared" ref="M224" si="150">M223+M222</f>
        <v>6525</v>
      </c>
      <c r="N224" s="43">
        <f t="shared" ref="N224" si="151">N223+N222</f>
        <v>6275</v>
      </c>
      <c r="O224" s="43">
        <f t="shared" ref="O224" si="152">O223+O222</f>
        <v>6025</v>
      </c>
      <c r="P224" s="43">
        <f t="shared" ref="P224" si="153">P223+P222</f>
        <v>5775</v>
      </c>
      <c r="Q224" s="43">
        <f t="shared" ref="Q224" si="154">Q223+Q222</f>
        <v>5525</v>
      </c>
      <c r="R224" s="43">
        <f t="shared" ref="R224" si="155">R223+R222</f>
        <v>5300</v>
      </c>
      <c r="S224" s="43">
        <f t="shared" ref="S224" si="156">S223+S222</f>
        <v>5100</v>
      </c>
      <c r="T224" s="41" t="s">
        <v>11</v>
      </c>
      <c r="U224" s="43"/>
      <c r="V224" s="41"/>
      <c r="W224" s="41"/>
      <c r="X224" s="41"/>
      <c r="Y224" s="41"/>
      <c r="Z224" s="492"/>
      <c r="AA224" s="533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</row>
    <row r="225" spans="1:46" s="2" customFormat="1" x14ac:dyDescent="0.25">
      <c r="A225" s="26" t="s">
        <v>0</v>
      </c>
      <c r="B225" s="26" t="s">
        <v>96</v>
      </c>
      <c r="C225" s="306"/>
      <c r="D225" s="14" t="s">
        <v>0</v>
      </c>
      <c r="E225" s="24">
        <v>38047</v>
      </c>
      <c r="F225" s="24" t="s">
        <v>283</v>
      </c>
      <c r="G225" s="35" t="s">
        <v>75</v>
      </c>
      <c r="H225" s="35"/>
      <c r="I225" s="35"/>
      <c r="J225" s="2" t="s">
        <v>1</v>
      </c>
      <c r="K225" s="27">
        <v>51000</v>
      </c>
      <c r="L225" s="4">
        <v>5000</v>
      </c>
      <c r="M225" s="4">
        <v>5000</v>
      </c>
      <c r="N225" s="4">
        <v>5000</v>
      </c>
      <c r="O225" s="4">
        <v>5000</v>
      </c>
      <c r="P225" s="283">
        <v>5000</v>
      </c>
      <c r="Q225" s="283">
        <v>5000</v>
      </c>
      <c r="R225" s="283">
        <v>5000</v>
      </c>
      <c r="S225" s="283">
        <v>5000</v>
      </c>
      <c r="T225" s="367" t="s">
        <v>11</v>
      </c>
      <c r="U225" s="283"/>
      <c r="Z225" s="490"/>
      <c r="AA225" s="60"/>
    </row>
    <row r="226" spans="1:46" s="2" customFormat="1" x14ac:dyDescent="0.25">
      <c r="A226" s="26"/>
      <c r="B226" s="26"/>
      <c r="C226" s="306"/>
      <c r="D226" s="14"/>
      <c r="E226" s="24" t="s">
        <v>12</v>
      </c>
      <c r="F226" s="24"/>
      <c r="G226" s="15" t="s">
        <v>810</v>
      </c>
      <c r="H226" s="35"/>
      <c r="I226" s="35"/>
      <c r="J226" s="17" t="s">
        <v>2</v>
      </c>
      <c r="K226" s="28">
        <v>21099.89</v>
      </c>
      <c r="L226" s="11">
        <v>1725</v>
      </c>
      <c r="M226" s="11">
        <v>1525</v>
      </c>
      <c r="N226" s="11">
        <f>700+575</f>
        <v>1275</v>
      </c>
      <c r="O226" s="11">
        <f>575+450</f>
        <v>1025</v>
      </c>
      <c r="P226" s="142">
        <f>450+325</f>
        <v>775</v>
      </c>
      <c r="Q226" s="142">
        <f>325+200</f>
        <v>525</v>
      </c>
      <c r="R226" s="142">
        <f>200+100</f>
        <v>300</v>
      </c>
      <c r="S226" s="142">
        <v>100</v>
      </c>
      <c r="T226" s="368" t="s">
        <v>11</v>
      </c>
      <c r="U226" s="142"/>
      <c r="V226" s="17"/>
      <c r="W226" s="17"/>
      <c r="X226" s="17"/>
      <c r="Y226" s="17"/>
      <c r="Z226" s="491"/>
      <c r="AA226" s="532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</row>
    <row r="227" spans="1:46" s="6" customFormat="1" ht="13.8" thickBot="1" x14ac:dyDescent="0.3">
      <c r="A227" s="120"/>
      <c r="B227" s="120"/>
      <c r="C227" s="307"/>
      <c r="D227" s="87"/>
      <c r="E227" s="88" t="s">
        <v>14</v>
      </c>
      <c r="F227" s="88" t="s">
        <v>410</v>
      </c>
      <c r="G227" s="125"/>
      <c r="H227" s="125"/>
      <c r="I227" s="125"/>
      <c r="J227" s="41" t="s">
        <v>6</v>
      </c>
      <c r="K227" s="42">
        <f>K226+K225</f>
        <v>72099.89</v>
      </c>
      <c r="L227" s="43">
        <f>L226+L225</f>
        <v>6725</v>
      </c>
      <c r="M227" s="43">
        <f t="shared" ref="M227" si="157">M226+M225</f>
        <v>6525</v>
      </c>
      <c r="N227" s="43">
        <f t="shared" ref="N227" si="158">N226+N225</f>
        <v>6275</v>
      </c>
      <c r="O227" s="43">
        <f t="shared" ref="O227" si="159">O226+O225</f>
        <v>6025</v>
      </c>
      <c r="P227" s="43">
        <f t="shared" ref="P227" si="160">P226+P225</f>
        <v>5775</v>
      </c>
      <c r="Q227" s="43">
        <f t="shared" ref="Q227" si="161">Q226+Q225</f>
        <v>5525</v>
      </c>
      <c r="R227" s="43">
        <f t="shared" ref="R227" si="162">R226+R225</f>
        <v>5300</v>
      </c>
      <c r="S227" s="43">
        <f t="shared" ref="S227" si="163">S226+S225</f>
        <v>5100</v>
      </c>
      <c r="T227" s="41" t="s">
        <v>11</v>
      </c>
      <c r="U227" s="43"/>
      <c r="V227" s="41"/>
      <c r="W227" s="41"/>
      <c r="X227" s="41"/>
      <c r="Y227" s="41"/>
      <c r="Z227" s="492"/>
      <c r="AA227" s="533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</row>
    <row r="228" spans="1:46" s="2" customFormat="1" x14ac:dyDescent="0.25">
      <c r="A228" s="26" t="s">
        <v>0</v>
      </c>
      <c r="B228" s="26" t="s">
        <v>96</v>
      </c>
      <c r="C228" s="306"/>
      <c r="D228" s="14" t="s">
        <v>0</v>
      </c>
      <c r="E228" s="24">
        <v>38047</v>
      </c>
      <c r="F228" s="24" t="s">
        <v>283</v>
      </c>
      <c r="G228" s="35" t="s">
        <v>81</v>
      </c>
      <c r="H228" s="35"/>
      <c r="I228" s="35"/>
      <c r="J228" s="2" t="s">
        <v>1</v>
      </c>
      <c r="K228" s="27">
        <v>50000</v>
      </c>
      <c r="L228" s="4">
        <v>5000</v>
      </c>
      <c r="M228" s="4">
        <v>5000</v>
      </c>
      <c r="N228" s="4">
        <v>5000</v>
      </c>
      <c r="O228" s="4">
        <v>5000</v>
      </c>
      <c r="P228" s="283">
        <v>5000</v>
      </c>
      <c r="Q228" s="283">
        <v>5000</v>
      </c>
      <c r="R228" s="283">
        <v>5000</v>
      </c>
      <c r="S228" s="283">
        <v>5000</v>
      </c>
      <c r="T228" s="367" t="s">
        <v>11</v>
      </c>
      <c r="U228" s="283"/>
      <c r="Z228" s="490"/>
      <c r="AA228" s="60"/>
    </row>
    <row r="229" spans="1:46" s="2" customFormat="1" x14ac:dyDescent="0.25">
      <c r="A229" s="26"/>
      <c r="B229" s="26"/>
      <c r="C229" s="306"/>
      <c r="D229" s="14"/>
      <c r="E229" s="24" t="s">
        <v>12</v>
      </c>
      <c r="F229" s="24"/>
      <c r="G229" s="15" t="s">
        <v>810</v>
      </c>
      <c r="H229" s="35"/>
      <c r="I229" s="35"/>
      <c r="J229" s="17" t="s">
        <v>2</v>
      </c>
      <c r="K229" s="28">
        <v>21094.31</v>
      </c>
      <c r="L229" s="11">
        <v>1725</v>
      </c>
      <c r="M229" s="11">
        <v>1525</v>
      </c>
      <c r="N229" s="11">
        <f>700+575</f>
        <v>1275</v>
      </c>
      <c r="O229" s="11">
        <f>575+450</f>
        <v>1025</v>
      </c>
      <c r="P229" s="142">
        <f>450+325</f>
        <v>775</v>
      </c>
      <c r="Q229" s="142">
        <f>325+200</f>
        <v>525</v>
      </c>
      <c r="R229" s="142">
        <f>200+100</f>
        <v>300</v>
      </c>
      <c r="S229" s="142">
        <v>100</v>
      </c>
      <c r="T229" s="368" t="s">
        <v>11</v>
      </c>
      <c r="U229" s="142"/>
      <c r="V229" s="17"/>
      <c r="W229" s="17"/>
      <c r="X229" s="17"/>
      <c r="Y229" s="17"/>
      <c r="Z229" s="491"/>
      <c r="AA229" s="532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</row>
    <row r="230" spans="1:46" s="6" customFormat="1" ht="13.8" thickBot="1" x14ac:dyDescent="0.3">
      <c r="A230" s="120"/>
      <c r="B230" s="120"/>
      <c r="C230" s="307"/>
      <c r="D230" s="87"/>
      <c r="E230" s="88" t="s">
        <v>14</v>
      </c>
      <c r="F230" s="88" t="s">
        <v>410</v>
      </c>
      <c r="G230" s="125"/>
      <c r="H230" s="125"/>
      <c r="I230" s="125"/>
      <c r="J230" s="41" t="s">
        <v>6</v>
      </c>
      <c r="K230" s="42">
        <f>K229+K228</f>
        <v>71094.31</v>
      </c>
      <c r="L230" s="43">
        <f>L229+L228</f>
        <v>6725</v>
      </c>
      <c r="M230" s="43">
        <f t="shared" ref="M230" si="164">M229+M228</f>
        <v>6525</v>
      </c>
      <c r="N230" s="43">
        <f t="shared" ref="N230" si="165">N229+N228</f>
        <v>6275</v>
      </c>
      <c r="O230" s="43">
        <f t="shared" ref="O230" si="166">O229+O228</f>
        <v>6025</v>
      </c>
      <c r="P230" s="43">
        <f t="shared" ref="P230" si="167">P229+P228</f>
        <v>5775</v>
      </c>
      <c r="Q230" s="43">
        <f t="shared" ref="Q230" si="168">Q229+Q228</f>
        <v>5525</v>
      </c>
      <c r="R230" s="43">
        <f t="shared" ref="R230" si="169">R229+R228</f>
        <v>5300</v>
      </c>
      <c r="S230" s="43">
        <f t="shared" ref="S230" si="170">S229+S228</f>
        <v>5100</v>
      </c>
      <c r="T230" s="41" t="s">
        <v>11</v>
      </c>
      <c r="U230" s="43"/>
      <c r="V230" s="41"/>
      <c r="W230" s="41"/>
      <c r="X230" s="41"/>
      <c r="Y230" s="41"/>
      <c r="Z230" s="492"/>
      <c r="AA230" s="533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</row>
    <row r="231" spans="1:46" s="2" customFormat="1" x14ac:dyDescent="0.25">
      <c r="A231" s="26" t="s">
        <v>0</v>
      </c>
      <c r="B231" s="26" t="s">
        <v>96</v>
      </c>
      <c r="C231" s="306"/>
      <c r="D231" s="14" t="s">
        <v>0</v>
      </c>
      <c r="E231" s="24">
        <v>38047</v>
      </c>
      <c r="F231" s="24" t="s">
        <v>283</v>
      </c>
      <c r="G231" s="35" t="s">
        <v>76</v>
      </c>
      <c r="H231" s="35"/>
      <c r="I231" s="35"/>
      <c r="J231" s="2" t="s">
        <v>1</v>
      </c>
      <c r="K231" s="27">
        <v>51000</v>
      </c>
      <c r="L231" s="4">
        <v>5000</v>
      </c>
      <c r="M231" s="4">
        <v>5000</v>
      </c>
      <c r="N231" s="4">
        <v>5000</v>
      </c>
      <c r="O231" s="4">
        <v>5000</v>
      </c>
      <c r="P231" s="283">
        <v>5000</v>
      </c>
      <c r="Q231" s="283">
        <v>5000</v>
      </c>
      <c r="R231" s="283">
        <v>5000</v>
      </c>
      <c r="S231" s="283">
        <v>5000</v>
      </c>
      <c r="T231" s="367" t="s">
        <v>11</v>
      </c>
      <c r="U231" s="283"/>
      <c r="Z231" s="490"/>
      <c r="AA231" s="60"/>
    </row>
    <row r="232" spans="1:46" s="2" customFormat="1" x14ac:dyDescent="0.25">
      <c r="A232" s="26"/>
      <c r="B232" s="26"/>
      <c r="C232" s="306"/>
      <c r="D232" s="14"/>
      <c r="E232" s="24" t="s">
        <v>12</v>
      </c>
      <c r="F232" s="24"/>
      <c r="G232" s="15" t="s">
        <v>810</v>
      </c>
      <c r="H232" s="35"/>
      <c r="I232" s="35"/>
      <c r="J232" s="17" t="s">
        <v>2</v>
      </c>
      <c r="K232" s="28">
        <v>21099.89</v>
      </c>
      <c r="L232" s="11">
        <v>1725</v>
      </c>
      <c r="M232" s="11">
        <v>1525</v>
      </c>
      <c r="N232" s="11">
        <f>700+575</f>
        <v>1275</v>
      </c>
      <c r="O232" s="11">
        <f>575+450</f>
        <v>1025</v>
      </c>
      <c r="P232" s="142">
        <f>450+325</f>
        <v>775</v>
      </c>
      <c r="Q232" s="142">
        <f>325+200</f>
        <v>525</v>
      </c>
      <c r="R232" s="142">
        <f>200+100</f>
        <v>300</v>
      </c>
      <c r="S232" s="142">
        <v>100</v>
      </c>
      <c r="T232" s="368" t="s">
        <v>11</v>
      </c>
      <c r="U232" s="142"/>
      <c r="V232" s="17"/>
      <c r="W232" s="17"/>
      <c r="X232" s="17"/>
      <c r="Y232" s="17"/>
      <c r="Z232" s="491"/>
      <c r="AA232" s="532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</row>
    <row r="233" spans="1:46" s="6" customFormat="1" ht="13.8" thickBot="1" x14ac:dyDescent="0.3">
      <c r="A233" s="120"/>
      <c r="B233" s="120"/>
      <c r="C233" s="307"/>
      <c r="D233" s="87"/>
      <c r="E233" s="88" t="s">
        <v>14</v>
      </c>
      <c r="F233" s="88" t="s">
        <v>410</v>
      </c>
      <c r="G233" s="125"/>
      <c r="H233" s="125"/>
      <c r="I233" s="125"/>
      <c r="J233" s="41" t="s">
        <v>6</v>
      </c>
      <c r="K233" s="42">
        <f>K232+K231</f>
        <v>72099.89</v>
      </c>
      <c r="L233" s="43">
        <f>L232+L231</f>
        <v>6725</v>
      </c>
      <c r="M233" s="43">
        <f t="shared" ref="M233:S233" si="171">M232+M231</f>
        <v>6525</v>
      </c>
      <c r="N233" s="43">
        <f t="shared" si="171"/>
        <v>6275</v>
      </c>
      <c r="O233" s="43">
        <f t="shared" si="171"/>
        <v>6025</v>
      </c>
      <c r="P233" s="43">
        <f t="shared" si="171"/>
        <v>5775</v>
      </c>
      <c r="Q233" s="43">
        <f t="shared" si="171"/>
        <v>5525</v>
      </c>
      <c r="R233" s="43">
        <f t="shared" si="171"/>
        <v>5300</v>
      </c>
      <c r="S233" s="43">
        <f t="shared" si="171"/>
        <v>5100</v>
      </c>
      <c r="T233" s="41" t="s">
        <v>11</v>
      </c>
      <c r="U233" s="43"/>
      <c r="V233" s="41"/>
      <c r="W233" s="41"/>
      <c r="X233" s="41"/>
      <c r="Y233" s="41"/>
      <c r="Z233" s="492"/>
      <c r="AA233" s="533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</row>
    <row r="234" spans="1:46" s="2" customFormat="1" x14ac:dyDescent="0.25">
      <c r="A234" s="26" t="s">
        <v>0</v>
      </c>
      <c r="B234" s="26" t="s">
        <v>96</v>
      </c>
      <c r="C234" s="306"/>
      <c r="D234" s="14" t="s">
        <v>0</v>
      </c>
      <c r="E234" s="24">
        <v>38047</v>
      </c>
      <c r="F234" s="24" t="s">
        <v>283</v>
      </c>
      <c r="G234" s="35" t="s">
        <v>78</v>
      </c>
      <c r="H234" s="35">
        <v>31440014</v>
      </c>
      <c r="I234" s="35">
        <v>586000</v>
      </c>
      <c r="J234" s="2" t="s">
        <v>1</v>
      </c>
      <c r="K234" s="27">
        <v>311000</v>
      </c>
      <c r="L234" s="4">
        <v>30000</v>
      </c>
      <c r="M234" s="4">
        <v>30000</v>
      </c>
      <c r="N234" s="4">
        <v>30000</v>
      </c>
      <c r="O234" s="4">
        <v>30000</v>
      </c>
      <c r="P234" s="283">
        <v>30000</v>
      </c>
      <c r="Q234" s="283">
        <v>30000</v>
      </c>
      <c r="R234" s="283">
        <v>30000</v>
      </c>
      <c r="S234" s="283">
        <v>30000</v>
      </c>
      <c r="T234" s="367" t="s">
        <v>11</v>
      </c>
      <c r="U234" s="283"/>
      <c r="Z234" s="490"/>
      <c r="AA234" s="60"/>
    </row>
    <row r="235" spans="1:46" s="2" customFormat="1" x14ac:dyDescent="0.25">
      <c r="A235" s="26"/>
      <c r="B235" s="26"/>
      <c r="C235" s="306"/>
      <c r="D235" s="14"/>
      <c r="E235" s="24" t="s">
        <v>12</v>
      </c>
      <c r="F235" s="24"/>
      <c r="G235" s="15" t="s">
        <v>810</v>
      </c>
      <c r="H235" s="35"/>
      <c r="I235" s="35"/>
      <c r="J235" s="17" t="s">
        <v>2</v>
      </c>
      <c r="K235" s="28">
        <v>127039.35</v>
      </c>
      <c r="L235" s="11">
        <v>10350</v>
      </c>
      <c r="M235" s="11">
        <v>9150</v>
      </c>
      <c r="N235" s="11">
        <f>4200+3450</f>
        <v>7650</v>
      </c>
      <c r="O235" s="11">
        <f>3450+2700</f>
        <v>6150</v>
      </c>
      <c r="P235" s="142">
        <f>2700+1950</f>
        <v>4650</v>
      </c>
      <c r="Q235" s="142">
        <f>1950+1200</f>
        <v>3150</v>
      </c>
      <c r="R235" s="142">
        <f>1200+600</f>
        <v>1800</v>
      </c>
      <c r="S235" s="142">
        <v>600</v>
      </c>
      <c r="T235" s="368" t="s">
        <v>11</v>
      </c>
      <c r="U235" s="142"/>
      <c r="V235" s="17"/>
      <c r="W235" s="17"/>
      <c r="X235" s="17"/>
      <c r="Y235" s="17"/>
      <c r="Z235" s="491"/>
      <c r="AA235" s="532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</row>
    <row r="236" spans="1:46" s="6" customFormat="1" ht="13.8" thickBot="1" x14ac:dyDescent="0.3">
      <c r="A236" s="120"/>
      <c r="B236" s="120"/>
      <c r="C236" s="307"/>
      <c r="D236" s="87"/>
      <c r="E236" s="88" t="s">
        <v>14</v>
      </c>
      <c r="F236" s="88" t="s">
        <v>410</v>
      </c>
      <c r="G236" s="125"/>
      <c r="H236" s="125"/>
      <c r="I236" s="125"/>
      <c r="J236" s="41" t="s">
        <v>6</v>
      </c>
      <c r="K236" s="42">
        <f>K235+K234</f>
        <v>438039.35</v>
      </c>
      <c r="L236" s="43">
        <f>L235+L234</f>
        <v>40350</v>
      </c>
      <c r="M236" s="43">
        <f t="shared" ref="M236:S236" si="172">M235+M234</f>
        <v>39150</v>
      </c>
      <c r="N236" s="43">
        <f t="shared" si="172"/>
        <v>37650</v>
      </c>
      <c r="O236" s="43">
        <f t="shared" si="172"/>
        <v>36150</v>
      </c>
      <c r="P236" s="43">
        <f t="shared" si="172"/>
        <v>34650</v>
      </c>
      <c r="Q236" s="43">
        <f t="shared" si="172"/>
        <v>33150</v>
      </c>
      <c r="R236" s="43">
        <f t="shared" si="172"/>
        <v>31800</v>
      </c>
      <c r="S236" s="43">
        <f t="shared" si="172"/>
        <v>30600</v>
      </c>
      <c r="T236" s="41" t="s">
        <v>11</v>
      </c>
      <c r="U236" s="43"/>
      <c r="V236" s="41"/>
      <c r="W236" s="41"/>
      <c r="X236" s="41"/>
      <c r="Y236" s="41"/>
      <c r="Z236" s="492"/>
      <c r="AA236" s="533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</row>
    <row r="237" spans="1:46" s="2" customFormat="1" x14ac:dyDescent="0.25">
      <c r="A237" s="26" t="s">
        <v>0</v>
      </c>
      <c r="B237" s="26" t="s">
        <v>96</v>
      </c>
      <c r="C237" s="306"/>
      <c r="D237" s="14" t="s">
        <v>0</v>
      </c>
      <c r="E237" s="24">
        <v>38047</v>
      </c>
      <c r="F237" s="24" t="s">
        <v>283</v>
      </c>
      <c r="G237" s="35" t="s">
        <v>79</v>
      </c>
      <c r="H237" s="35"/>
      <c r="I237" s="35"/>
      <c r="J237" s="2" t="s">
        <v>1</v>
      </c>
      <c r="K237" s="27">
        <v>56000</v>
      </c>
      <c r="L237" s="4">
        <v>5000</v>
      </c>
      <c r="M237" s="4">
        <v>5000</v>
      </c>
      <c r="N237" s="4">
        <v>5000</v>
      </c>
      <c r="O237" s="4">
        <v>5000</v>
      </c>
      <c r="P237" s="283">
        <v>5000</v>
      </c>
      <c r="Q237" s="283">
        <v>5000</v>
      </c>
      <c r="R237" s="283">
        <v>5000</v>
      </c>
      <c r="S237" s="283">
        <v>5000</v>
      </c>
      <c r="T237" s="367" t="s">
        <v>11</v>
      </c>
      <c r="U237" s="283"/>
      <c r="Z237" s="490"/>
      <c r="AA237" s="60"/>
    </row>
    <row r="238" spans="1:46" s="2" customFormat="1" x14ac:dyDescent="0.25">
      <c r="A238" s="26"/>
      <c r="B238" s="26"/>
      <c r="C238" s="306"/>
      <c r="D238" s="14"/>
      <c r="E238" s="24" t="s">
        <v>12</v>
      </c>
      <c r="F238" s="24"/>
      <c r="G238" s="15" t="s">
        <v>810</v>
      </c>
      <c r="H238" s="35"/>
      <c r="I238" s="35"/>
      <c r="J238" s="17" t="s">
        <v>2</v>
      </c>
      <c r="K238" s="28">
        <v>21737.84</v>
      </c>
      <c r="L238" s="11">
        <v>1725</v>
      </c>
      <c r="M238" s="11">
        <v>1525</v>
      </c>
      <c r="N238" s="11">
        <f>700+575</f>
        <v>1275</v>
      </c>
      <c r="O238" s="11">
        <f>575+450</f>
        <v>1025</v>
      </c>
      <c r="P238" s="142">
        <f>450+325</f>
        <v>775</v>
      </c>
      <c r="Q238" s="142">
        <f>325+200</f>
        <v>525</v>
      </c>
      <c r="R238" s="142">
        <f>200+100</f>
        <v>300</v>
      </c>
      <c r="S238" s="142">
        <v>100</v>
      </c>
      <c r="T238" s="368" t="s">
        <v>11</v>
      </c>
      <c r="U238" s="142"/>
      <c r="V238" s="17"/>
      <c r="W238" s="17"/>
      <c r="X238" s="17"/>
      <c r="Y238" s="17"/>
      <c r="Z238" s="491"/>
      <c r="AA238" s="532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</row>
    <row r="239" spans="1:46" s="6" customFormat="1" ht="13.8" thickBot="1" x14ac:dyDescent="0.3">
      <c r="A239" s="120"/>
      <c r="B239" s="120"/>
      <c r="C239" s="307"/>
      <c r="D239" s="87"/>
      <c r="E239" s="88" t="s">
        <v>14</v>
      </c>
      <c r="F239" s="88" t="s">
        <v>410</v>
      </c>
      <c r="G239" s="125"/>
      <c r="H239" s="125"/>
      <c r="I239" s="125"/>
      <c r="J239" s="41" t="s">
        <v>6</v>
      </c>
      <c r="K239" s="42">
        <f>K238+K237</f>
        <v>77737.84</v>
      </c>
      <c r="L239" s="43">
        <f>L238+L237</f>
        <v>6725</v>
      </c>
      <c r="M239" s="43">
        <f t="shared" ref="M239" si="173">M238+M237</f>
        <v>6525</v>
      </c>
      <c r="N239" s="43">
        <f t="shared" ref="N239" si="174">N238+N237</f>
        <v>6275</v>
      </c>
      <c r="O239" s="43">
        <f t="shared" ref="O239" si="175">O238+O237</f>
        <v>6025</v>
      </c>
      <c r="P239" s="43">
        <f t="shared" ref="P239" si="176">P238+P237</f>
        <v>5775</v>
      </c>
      <c r="Q239" s="43">
        <f t="shared" ref="Q239" si="177">Q238+Q237</f>
        <v>5525</v>
      </c>
      <c r="R239" s="43">
        <f t="shared" ref="R239" si="178">R238+R237</f>
        <v>5300</v>
      </c>
      <c r="S239" s="43">
        <f t="shared" ref="S239" si="179">S238+S237</f>
        <v>5100</v>
      </c>
      <c r="T239" s="41" t="s">
        <v>11</v>
      </c>
      <c r="U239" s="43"/>
      <c r="V239" s="41"/>
      <c r="W239" s="41"/>
      <c r="X239" s="41"/>
      <c r="Y239" s="41"/>
      <c r="Z239" s="492"/>
      <c r="AA239" s="533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</row>
    <row r="240" spans="1:46" s="2" customFormat="1" x14ac:dyDescent="0.25">
      <c r="A240" s="26" t="s">
        <v>0</v>
      </c>
      <c r="B240" s="26" t="s">
        <v>96</v>
      </c>
      <c r="C240" s="306"/>
      <c r="D240" s="14" t="s">
        <v>0</v>
      </c>
      <c r="E240" s="24">
        <v>38047</v>
      </c>
      <c r="F240" s="24" t="s">
        <v>283</v>
      </c>
      <c r="G240" s="35" t="s">
        <v>80</v>
      </c>
      <c r="H240" s="35"/>
      <c r="I240" s="35"/>
      <c r="J240" s="2" t="s">
        <v>1</v>
      </c>
      <c r="K240" s="27">
        <v>50000</v>
      </c>
      <c r="L240" s="4">
        <v>5000</v>
      </c>
      <c r="M240" s="4">
        <v>5000</v>
      </c>
      <c r="N240" s="4">
        <v>5000</v>
      </c>
      <c r="O240" s="4">
        <v>5000</v>
      </c>
      <c r="P240" s="283">
        <v>5000</v>
      </c>
      <c r="Q240" s="283">
        <v>5000</v>
      </c>
      <c r="R240" s="283">
        <v>5000</v>
      </c>
      <c r="S240" s="283">
        <v>5000</v>
      </c>
      <c r="T240" s="367" t="s">
        <v>11</v>
      </c>
      <c r="U240" s="283"/>
      <c r="Z240" s="490"/>
      <c r="AA240" s="60"/>
    </row>
    <row r="241" spans="1:46" s="2" customFormat="1" x14ac:dyDescent="0.25">
      <c r="A241" s="26"/>
      <c r="B241" s="26"/>
      <c r="C241" s="306"/>
      <c r="D241" s="14"/>
      <c r="E241" s="24" t="s">
        <v>12</v>
      </c>
      <c r="F241" s="24"/>
      <c r="G241" s="15" t="s">
        <v>810</v>
      </c>
      <c r="H241" s="35"/>
      <c r="I241" s="35"/>
      <c r="J241" s="17" t="s">
        <v>2</v>
      </c>
      <c r="K241" s="28">
        <v>21094.31</v>
      </c>
      <c r="L241" s="11">
        <v>1725</v>
      </c>
      <c r="M241" s="11">
        <v>1525</v>
      </c>
      <c r="N241" s="11">
        <f>700+575</f>
        <v>1275</v>
      </c>
      <c r="O241" s="11">
        <f>575+450</f>
        <v>1025</v>
      </c>
      <c r="P241" s="142">
        <f>450+325</f>
        <v>775</v>
      </c>
      <c r="Q241" s="142">
        <f>325+200</f>
        <v>525</v>
      </c>
      <c r="R241" s="142">
        <f>200+100</f>
        <v>300</v>
      </c>
      <c r="S241" s="142">
        <v>100</v>
      </c>
      <c r="T241" s="368" t="s">
        <v>11</v>
      </c>
      <c r="U241" s="142"/>
      <c r="V241" s="17"/>
      <c r="W241" s="17"/>
      <c r="X241" s="17"/>
      <c r="Y241" s="17"/>
      <c r="Z241" s="491"/>
      <c r="AA241" s="532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</row>
    <row r="242" spans="1:46" s="6" customFormat="1" ht="13.8" thickBot="1" x14ac:dyDescent="0.3">
      <c r="A242" s="120"/>
      <c r="B242" s="120"/>
      <c r="C242" s="307"/>
      <c r="D242" s="87"/>
      <c r="E242" s="88" t="s">
        <v>14</v>
      </c>
      <c r="F242" s="88" t="s">
        <v>410</v>
      </c>
      <c r="G242" s="125"/>
      <c r="H242" s="125"/>
      <c r="I242" s="125"/>
      <c r="J242" s="41" t="s">
        <v>6</v>
      </c>
      <c r="K242" s="42">
        <f>K241+K240</f>
        <v>71094.31</v>
      </c>
      <c r="L242" s="43">
        <f>L241+L240</f>
        <v>6725</v>
      </c>
      <c r="M242" s="43">
        <f t="shared" ref="M242" si="180">M241+M240</f>
        <v>6525</v>
      </c>
      <c r="N242" s="43">
        <f t="shared" ref="N242" si="181">N241+N240</f>
        <v>6275</v>
      </c>
      <c r="O242" s="43">
        <f t="shared" ref="O242" si="182">O241+O240</f>
        <v>6025</v>
      </c>
      <c r="P242" s="43">
        <f t="shared" ref="P242" si="183">P241+P240</f>
        <v>5775</v>
      </c>
      <c r="Q242" s="43">
        <f t="shared" ref="Q242" si="184">Q241+Q240</f>
        <v>5525</v>
      </c>
      <c r="R242" s="43">
        <f t="shared" ref="R242" si="185">R241+R240</f>
        <v>5300</v>
      </c>
      <c r="S242" s="43">
        <f t="shared" ref="S242" si="186">S241+S240</f>
        <v>5100</v>
      </c>
      <c r="T242" s="41" t="s">
        <v>11</v>
      </c>
      <c r="U242" s="43"/>
      <c r="V242" s="41"/>
      <c r="W242" s="41"/>
      <c r="X242" s="41"/>
      <c r="Y242" s="41"/>
      <c r="Z242" s="492"/>
      <c r="AA242" s="533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</row>
    <row r="243" spans="1:46" s="2" customFormat="1" x14ac:dyDescent="0.25">
      <c r="A243" s="26" t="s">
        <v>0</v>
      </c>
      <c r="B243" s="26" t="s">
        <v>96</v>
      </c>
      <c r="C243" s="306"/>
      <c r="D243" s="14" t="s">
        <v>0</v>
      </c>
      <c r="E243" s="24">
        <v>38047</v>
      </c>
      <c r="F243" s="24" t="s">
        <v>283</v>
      </c>
      <c r="G243" s="35" t="s">
        <v>85</v>
      </c>
      <c r="H243" s="35">
        <v>31440015</v>
      </c>
      <c r="I243" s="35">
        <v>586000</v>
      </c>
      <c r="J243" s="2" t="s">
        <v>1</v>
      </c>
      <c r="K243" s="27">
        <v>58000</v>
      </c>
      <c r="L243" s="4">
        <v>6000</v>
      </c>
      <c r="M243" s="4">
        <v>5000</v>
      </c>
      <c r="N243" s="4">
        <v>5000</v>
      </c>
      <c r="O243" s="4">
        <v>5000</v>
      </c>
      <c r="P243" s="283">
        <v>5000</v>
      </c>
      <c r="Q243" s="283">
        <v>5000</v>
      </c>
      <c r="R243" s="283">
        <v>5000</v>
      </c>
      <c r="S243" s="283">
        <v>5000</v>
      </c>
      <c r="T243" s="283">
        <v>5000</v>
      </c>
      <c r="U243" s="367" t="s">
        <v>11</v>
      </c>
      <c r="Z243" s="490"/>
      <c r="AA243" s="60"/>
    </row>
    <row r="244" spans="1:46" s="2" customFormat="1" x14ac:dyDescent="0.25">
      <c r="A244" s="400"/>
      <c r="B244" s="26"/>
      <c r="C244" s="306"/>
      <c r="D244" s="14"/>
      <c r="E244" s="24" t="s">
        <v>12</v>
      </c>
      <c r="F244" s="24"/>
      <c r="G244" s="15" t="s">
        <v>810</v>
      </c>
      <c r="H244" s="35"/>
      <c r="I244" s="35"/>
      <c r="J244" s="17" t="s">
        <v>2</v>
      </c>
      <c r="K244" s="28">
        <v>24280.79</v>
      </c>
      <c r="L244" s="11">
        <v>1940</v>
      </c>
      <c r="M244" s="11">
        <v>1725</v>
      </c>
      <c r="N244" s="11">
        <f>800+675</f>
        <v>1475</v>
      </c>
      <c r="O244" s="11">
        <f>675+550</f>
        <v>1225</v>
      </c>
      <c r="P244" s="142">
        <f>550+425</f>
        <v>975</v>
      </c>
      <c r="Q244" s="142">
        <f>425+300</f>
        <v>725</v>
      </c>
      <c r="R244" s="142">
        <f>300+200</f>
        <v>500</v>
      </c>
      <c r="S244" s="142">
        <f>200+100</f>
        <v>300</v>
      </c>
      <c r="T244" s="142">
        <v>100</v>
      </c>
      <c r="U244" s="368" t="s">
        <v>11</v>
      </c>
      <c r="V244" s="17"/>
      <c r="W244" s="17"/>
      <c r="X244" s="17"/>
      <c r="Y244" s="17"/>
      <c r="Z244" s="491"/>
      <c r="AA244" s="532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</row>
    <row r="245" spans="1:46" s="6" customFormat="1" ht="13.8" thickBot="1" x14ac:dyDescent="0.3">
      <c r="A245" s="120"/>
      <c r="B245" s="120"/>
      <c r="C245" s="307"/>
      <c r="D245" s="87"/>
      <c r="E245" s="88" t="s">
        <v>14</v>
      </c>
      <c r="F245" s="88" t="s">
        <v>410</v>
      </c>
      <c r="G245" s="125"/>
      <c r="H245" s="125"/>
      <c r="I245" s="125"/>
      <c r="J245" s="41" t="s">
        <v>6</v>
      </c>
      <c r="K245" s="42">
        <f>K244+K243</f>
        <v>82280.790000000008</v>
      </c>
      <c r="L245" s="43">
        <f>L244+L243</f>
        <v>7940</v>
      </c>
      <c r="M245" s="43">
        <f t="shared" ref="M245" si="187">M244+M243</f>
        <v>6725</v>
      </c>
      <c r="N245" s="43">
        <f t="shared" ref="N245" si="188">N244+N243</f>
        <v>6475</v>
      </c>
      <c r="O245" s="43">
        <f t="shared" ref="O245" si="189">O244+O243</f>
        <v>6225</v>
      </c>
      <c r="P245" s="43">
        <f t="shared" ref="P245" si="190">P244+P243</f>
        <v>5975</v>
      </c>
      <c r="Q245" s="43">
        <f t="shared" ref="Q245" si="191">Q244+Q243</f>
        <v>5725</v>
      </c>
      <c r="R245" s="43">
        <f t="shared" ref="R245" si="192">R244+R243</f>
        <v>5500</v>
      </c>
      <c r="S245" s="43">
        <f t="shared" ref="S245:T245" si="193">S244+S243</f>
        <v>5300</v>
      </c>
      <c r="T245" s="43">
        <f t="shared" si="193"/>
        <v>5100</v>
      </c>
      <c r="U245" s="41" t="s">
        <v>11</v>
      </c>
      <c r="V245" s="41"/>
      <c r="W245" s="41"/>
      <c r="X245" s="41"/>
      <c r="Y245" s="41"/>
      <c r="Z245" s="492"/>
      <c r="AA245" s="533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</row>
    <row r="246" spans="1:46" s="2" customFormat="1" x14ac:dyDescent="0.25">
      <c r="A246" s="26" t="s">
        <v>0</v>
      </c>
      <c r="B246" s="26" t="s">
        <v>96</v>
      </c>
      <c r="C246" s="306"/>
      <c r="D246" s="14" t="s">
        <v>0</v>
      </c>
      <c r="E246" s="24">
        <v>38047</v>
      </c>
      <c r="F246" s="24" t="s">
        <v>283</v>
      </c>
      <c r="G246" s="15" t="s">
        <v>86</v>
      </c>
      <c r="H246" s="15"/>
      <c r="I246" s="15"/>
      <c r="J246" s="2" t="s">
        <v>1</v>
      </c>
      <c r="K246" s="27">
        <v>115000</v>
      </c>
      <c r="L246" s="4">
        <v>10000</v>
      </c>
      <c r="M246" s="4">
        <v>10000</v>
      </c>
      <c r="N246" s="4">
        <v>10000</v>
      </c>
      <c r="O246" s="4">
        <v>10000</v>
      </c>
      <c r="P246" s="283">
        <v>10000</v>
      </c>
      <c r="Q246" s="283">
        <v>10000</v>
      </c>
      <c r="R246" s="283">
        <v>10000</v>
      </c>
      <c r="S246" s="283">
        <v>10000</v>
      </c>
      <c r="T246" s="367" t="s">
        <v>11</v>
      </c>
      <c r="U246" s="283"/>
      <c r="V246" s="283"/>
      <c r="W246" s="283"/>
      <c r="Z246" s="490"/>
      <c r="AA246" s="60"/>
    </row>
    <row r="247" spans="1:46" s="2" customFormat="1" x14ac:dyDescent="0.25">
      <c r="A247" s="26"/>
      <c r="B247" s="26"/>
      <c r="C247" s="306"/>
      <c r="D247" s="14"/>
      <c r="E247" s="24" t="s">
        <v>12</v>
      </c>
      <c r="F247" s="24"/>
      <c r="G247" s="15"/>
      <c r="H247" s="15"/>
      <c r="I247" s="15"/>
      <c r="J247" s="17" t="s">
        <v>2</v>
      </c>
      <c r="K247" s="28">
        <v>43896.88</v>
      </c>
      <c r="L247" s="11">
        <v>3450</v>
      </c>
      <c r="M247" s="11">
        <v>3050</v>
      </c>
      <c r="N247" s="11">
        <f>1400+1150</f>
        <v>2550</v>
      </c>
      <c r="O247" s="11">
        <f>1150+900</f>
        <v>2050</v>
      </c>
      <c r="P247" s="142">
        <f>900+650</f>
        <v>1550</v>
      </c>
      <c r="Q247" s="142">
        <f>650+400</f>
        <v>1050</v>
      </c>
      <c r="R247" s="142">
        <f>400+200</f>
        <v>600</v>
      </c>
      <c r="S247" s="142">
        <v>200</v>
      </c>
      <c r="T247" s="368" t="s">
        <v>11</v>
      </c>
      <c r="U247" s="142"/>
      <c r="V247" s="142"/>
      <c r="W247" s="142"/>
      <c r="X247" s="17"/>
      <c r="Y247" s="17"/>
      <c r="Z247" s="491"/>
      <c r="AA247" s="532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</row>
    <row r="248" spans="1:46" s="6" customFormat="1" ht="13.8" thickBot="1" x14ac:dyDescent="0.3">
      <c r="A248" s="120"/>
      <c r="B248" s="120"/>
      <c r="C248" s="307"/>
      <c r="D248" s="87"/>
      <c r="E248" s="88" t="s">
        <v>14</v>
      </c>
      <c r="F248" s="88" t="s">
        <v>410</v>
      </c>
      <c r="G248" s="126"/>
      <c r="H248" s="126"/>
      <c r="I248" s="126"/>
      <c r="J248" s="41" t="s">
        <v>6</v>
      </c>
      <c r="K248" s="42">
        <f>K247+K246</f>
        <v>158896.88</v>
      </c>
      <c r="L248" s="43">
        <f>L247+L246</f>
        <v>13450</v>
      </c>
      <c r="M248" s="43">
        <f t="shared" ref="M248:S248" si="194">M247+M246</f>
        <v>13050</v>
      </c>
      <c r="N248" s="43">
        <f t="shared" si="194"/>
        <v>12550</v>
      </c>
      <c r="O248" s="43">
        <f t="shared" si="194"/>
        <v>12050</v>
      </c>
      <c r="P248" s="43">
        <f t="shared" si="194"/>
        <v>11550</v>
      </c>
      <c r="Q248" s="43">
        <f t="shared" si="194"/>
        <v>11050</v>
      </c>
      <c r="R248" s="43">
        <f t="shared" si="194"/>
        <v>10600</v>
      </c>
      <c r="S248" s="43">
        <f t="shared" si="194"/>
        <v>10200</v>
      </c>
      <c r="T248" s="41" t="s">
        <v>11</v>
      </c>
      <c r="U248" s="43"/>
      <c r="V248" s="43"/>
      <c r="W248" s="43"/>
      <c r="X248" s="41"/>
      <c r="Y248" s="41"/>
      <c r="Z248" s="492"/>
      <c r="AA248" s="533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</row>
    <row r="249" spans="1:46" s="2" customFormat="1" x14ac:dyDescent="0.25">
      <c r="A249" s="26" t="s">
        <v>0</v>
      </c>
      <c r="B249" s="26" t="s">
        <v>96</v>
      </c>
      <c r="C249" s="306"/>
      <c r="D249" s="14" t="s">
        <v>0</v>
      </c>
      <c r="E249" s="24">
        <v>38047</v>
      </c>
      <c r="F249" s="24" t="s">
        <v>283</v>
      </c>
      <c r="G249" s="15" t="s">
        <v>288</v>
      </c>
      <c r="H249" s="15"/>
      <c r="I249" s="15"/>
      <c r="J249" s="2" t="s">
        <v>1</v>
      </c>
      <c r="K249" s="27">
        <v>216000</v>
      </c>
      <c r="L249" s="4">
        <v>22000</v>
      </c>
      <c r="M249" s="4">
        <v>20000</v>
      </c>
      <c r="N249" s="4">
        <v>20000</v>
      </c>
      <c r="O249" s="4">
        <v>20000</v>
      </c>
      <c r="P249" s="283">
        <v>20000</v>
      </c>
      <c r="Q249" s="283">
        <v>20000</v>
      </c>
      <c r="R249" s="283">
        <v>20000</v>
      </c>
      <c r="S249" s="283">
        <v>20000</v>
      </c>
      <c r="T249" s="283">
        <v>20000</v>
      </c>
      <c r="U249" s="367" t="s">
        <v>11</v>
      </c>
      <c r="V249" s="283"/>
      <c r="W249" s="283"/>
      <c r="Z249" s="490"/>
      <c r="AA249" s="60"/>
    </row>
    <row r="250" spans="1:46" s="2" customFormat="1" x14ac:dyDescent="0.25">
      <c r="A250" s="400"/>
      <c r="B250" s="26"/>
      <c r="C250" s="306"/>
      <c r="D250" s="14"/>
      <c r="E250" s="24" t="s">
        <v>12</v>
      </c>
      <c r="F250" s="24"/>
      <c r="G250" s="15"/>
      <c r="H250" s="15"/>
      <c r="I250" s="15"/>
      <c r="J250" s="17" t="s">
        <v>2</v>
      </c>
      <c r="K250" s="28">
        <v>95623.18</v>
      </c>
      <c r="L250" s="11">
        <v>7730</v>
      </c>
      <c r="M250" s="11">
        <v>6900</v>
      </c>
      <c r="N250" s="11">
        <f>3200+2700</f>
        <v>5900</v>
      </c>
      <c r="O250" s="11">
        <f>2700+2200</f>
        <v>4900</v>
      </c>
      <c r="P250" s="142">
        <f>2200+1700</f>
        <v>3900</v>
      </c>
      <c r="Q250" s="142">
        <f>1700+1200</f>
        <v>2900</v>
      </c>
      <c r="R250" s="142">
        <f>1200+800</f>
        <v>2000</v>
      </c>
      <c r="S250" s="142">
        <f>800+400</f>
        <v>1200</v>
      </c>
      <c r="T250" s="142">
        <v>400</v>
      </c>
      <c r="U250" s="368" t="s">
        <v>11</v>
      </c>
      <c r="V250" s="142"/>
      <c r="W250" s="142"/>
      <c r="X250" s="17"/>
      <c r="Y250" s="17"/>
      <c r="Z250" s="491"/>
      <c r="AA250" s="532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</row>
    <row r="251" spans="1:46" s="6" customFormat="1" ht="13.8" thickBot="1" x14ac:dyDescent="0.3">
      <c r="A251" s="120"/>
      <c r="B251" s="120"/>
      <c r="C251" s="307"/>
      <c r="D251" s="87"/>
      <c r="E251" s="88" t="s">
        <v>14</v>
      </c>
      <c r="F251" s="88" t="s">
        <v>410</v>
      </c>
      <c r="G251" s="140"/>
      <c r="H251" s="140"/>
      <c r="I251" s="140"/>
      <c r="J251" s="41" t="s">
        <v>6</v>
      </c>
      <c r="K251" s="42">
        <f>K250+K249</f>
        <v>311623.18</v>
      </c>
      <c r="L251" s="43">
        <f>L250+L249</f>
        <v>29730</v>
      </c>
      <c r="M251" s="43">
        <f t="shared" ref="M251:T251" si="195">M250+M249</f>
        <v>26900</v>
      </c>
      <c r="N251" s="43">
        <f t="shared" si="195"/>
        <v>25900</v>
      </c>
      <c r="O251" s="43">
        <f t="shared" si="195"/>
        <v>24900</v>
      </c>
      <c r="P251" s="43">
        <f t="shared" si="195"/>
        <v>23900</v>
      </c>
      <c r="Q251" s="43">
        <f t="shared" si="195"/>
        <v>22900</v>
      </c>
      <c r="R251" s="43">
        <f t="shared" si="195"/>
        <v>22000</v>
      </c>
      <c r="S251" s="43">
        <f t="shared" si="195"/>
        <v>21200</v>
      </c>
      <c r="T251" s="43">
        <f t="shared" si="195"/>
        <v>20400</v>
      </c>
      <c r="U251" s="41" t="s">
        <v>11</v>
      </c>
      <c r="V251" s="43"/>
      <c r="W251" s="43"/>
      <c r="X251" s="41"/>
      <c r="Y251" s="41"/>
      <c r="Z251" s="492"/>
      <c r="AA251" s="533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</row>
    <row r="252" spans="1:46" s="2" customFormat="1" x14ac:dyDescent="0.25">
      <c r="A252" s="26"/>
      <c r="B252" s="26"/>
      <c r="C252" s="306"/>
      <c r="D252" s="14"/>
      <c r="E252" s="24"/>
      <c r="F252" s="24"/>
      <c r="G252" s="13" t="s">
        <v>33</v>
      </c>
      <c r="H252" s="13">
        <v>60771619</v>
      </c>
      <c r="I252" s="13">
        <v>591100</v>
      </c>
      <c r="J252" s="14" t="s">
        <v>1</v>
      </c>
      <c r="K252" s="29">
        <f>K249+K246</f>
        <v>331000</v>
      </c>
      <c r="L252" s="7">
        <f>L249+L246</f>
        <v>32000</v>
      </c>
      <c r="M252" s="7">
        <f t="shared" ref="M252:O252" si="196">M249+M246</f>
        <v>30000</v>
      </c>
      <c r="N252" s="7">
        <f t="shared" si="196"/>
        <v>30000</v>
      </c>
      <c r="O252" s="7">
        <f t="shared" si="196"/>
        <v>30000</v>
      </c>
      <c r="P252" s="7">
        <f>P249+P246+P243+P240+P237+P234+P231+P228+P225+P222+P219+P216</f>
        <v>165000</v>
      </c>
      <c r="Q252" s="7">
        <f>Q249+Q246+Q243+Q240+Q237+Q234+Q231+Q228+Q225+Q222+Q219</f>
        <v>100000</v>
      </c>
      <c r="R252" s="7">
        <f t="shared" ref="R252:S252" si="197">R249+R246+R243+R240+R237+R234+R231+R228+R225+R222+R219</f>
        <v>100000</v>
      </c>
      <c r="S252" s="7">
        <f t="shared" si="197"/>
        <v>100000</v>
      </c>
      <c r="T252" s="7">
        <f>T249+T243</f>
        <v>25000</v>
      </c>
      <c r="U252" s="3" t="s">
        <v>11</v>
      </c>
      <c r="V252" s="7"/>
      <c r="W252" s="7"/>
      <c r="X252" s="40"/>
      <c r="Z252" s="490"/>
      <c r="AA252" s="60"/>
    </row>
    <row r="253" spans="1:46" s="2" customFormat="1" x14ac:dyDescent="0.25">
      <c r="A253" s="26"/>
      <c r="B253" s="26"/>
      <c r="C253" s="306"/>
      <c r="D253" s="14"/>
      <c r="E253" s="24"/>
      <c r="F253" s="24"/>
      <c r="G253" s="15"/>
      <c r="H253" s="153">
        <v>60771619</v>
      </c>
      <c r="I253" s="153">
        <v>595100</v>
      </c>
      <c r="J253" s="18" t="s">
        <v>2</v>
      </c>
      <c r="K253" s="30">
        <f>K250+K247</f>
        <v>139520.06</v>
      </c>
      <c r="L253" s="16">
        <f>L250+L247</f>
        <v>11180</v>
      </c>
      <c r="M253" s="16">
        <f t="shared" ref="M253:O253" si="198">M250+M247</f>
        <v>9950</v>
      </c>
      <c r="N253" s="16">
        <f t="shared" si="198"/>
        <v>8450</v>
      </c>
      <c r="O253" s="16">
        <f t="shared" si="198"/>
        <v>6950</v>
      </c>
      <c r="P253" s="7">
        <f>P250+P247+P244+P241+P238+P235+P232+P229+P226+P223+P220+P217</f>
        <v>18125</v>
      </c>
      <c r="Q253" s="7">
        <f>Q250+Q247+Q244+Q241+Q238+Q235+Q232+Q229+Q226+Q223+Q220</f>
        <v>11500</v>
      </c>
      <c r="R253" s="7">
        <f t="shared" ref="R253:S253" si="199">R250+R247+R244+R241+R238+R235+R232+R229+R226+R223+R220</f>
        <v>7000</v>
      </c>
      <c r="S253" s="7">
        <f t="shared" si="199"/>
        <v>3000</v>
      </c>
      <c r="T253" s="7">
        <f>T250+T244</f>
        <v>500</v>
      </c>
      <c r="U253" s="20" t="s">
        <v>11</v>
      </c>
      <c r="V253" s="16"/>
      <c r="W253" s="16"/>
      <c r="X253" s="56"/>
      <c r="Y253" s="17"/>
      <c r="Z253" s="491"/>
      <c r="AA253" s="532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</row>
    <row r="254" spans="1:46" s="8" customFormat="1" ht="13.8" thickBot="1" x14ac:dyDescent="0.3">
      <c r="A254" s="122"/>
      <c r="B254" s="122"/>
      <c r="C254" s="307"/>
      <c r="D254" s="87"/>
      <c r="E254" s="87"/>
      <c r="F254" s="87"/>
      <c r="G254" s="87"/>
      <c r="H254" s="87"/>
      <c r="I254" s="87"/>
      <c r="J254" s="50" t="s">
        <v>5</v>
      </c>
      <c r="K254" s="51">
        <f>K253+K252</f>
        <v>470520.06</v>
      </c>
      <c r="L254" s="46">
        <f>L253+L252</f>
        <v>43180</v>
      </c>
      <c r="M254" s="46">
        <f t="shared" ref="M254:Q254" si="200">M253+M252</f>
        <v>39950</v>
      </c>
      <c r="N254" s="46">
        <f t="shared" si="200"/>
        <v>38450</v>
      </c>
      <c r="O254" s="46">
        <f t="shared" si="200"/>
        <v>36950</v>
      </c>
      <c r="P254" s="46">
        <f t="shared" si="200"/>
        <v>183125</v>
      </c>
      <c r="Q254" s="46">
        <f t="shared" si="200"/>
        <v>111500</v>
      </c>
      <c r="R254" s="46">
        <f t="shared" ref="R254:T254" si="201">R253+R252</f>
        <v>107000</v>
      </c>
      <c r="S254" s="46">
        <f t="shared" si="201"/>
        <v>103000</v>
      </c>
      <c r="T254" s="46">
        <f t="shared" si="201"/>
        <v>25500</v>
      </c>
      <c r="U254" s="47" t="s">
        <v>11</v>
      </c>
      <c r="V254" s="46"/>
      <c r="W254" s="46"/>
      <c r="X254" s="47"/>
      <c r="Y254" s="47"/>
      <c r="Z254" s="494"/>
      <c r="AA254" s="65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</row>
    <row r="255" spans="1:46" s="6" customFormat="1" x14ac:dyDescent="0.25">
      <c r="A255" s="26"/>
      <c r="B255" s="26" t="s">
        <v>96</v>
      </c>
      <c r="C255" s="306"/>
      <c r="D255" s="10" t="s">
        <v>4</v>
      </c>
      <c r="E255" s="25">
        <v>38047</v>
      </c>
      <c r="F255" s="25" t="s">
        <v>283</v>
      </c>
      <c r="G255" s="12" t="s">
        <v>110</v>
      </c>
      <c r="H255" s="12"/>
      <c r="I255" s="12"/>
      <c r="J255" s="2" t="s">
        <v>1</v>
      </c>
      <c r="K255" s="27">
        <v>194000</v>
      </c>
      <c r="L255" s="4">
        <v>20000</v>
      </c>
      <c r="M255" s="4">
        <v>20000</v>
      </c>
      <c r="N255" s="4">
        <v>20000</v>
      </c>
      <c r="O255" s="4">
        <v>18000</v>
      </c>
      <c r="P255" s="367" t="s">
        <v>11</v>
      </c>
      <c r="Q255" s="283"/>
      <c r="R255" s="283"/>
      <c r="S255" s="283"/>
      <c r="T255" s="283"/>
      <c r="U255" s="2"/>
      <c r="V255" s="2"/>
      <c r="W255" s="2"/>
      <c r="X255" s="2"/>
      <c r="Y255" s="2"/>
      <c r="Z255" s="490"/>
      <c r="AA255" s="60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1:46" s="6" customFormat="1" x14ac:dyDescent="0.25">
      <c r="A256" s="26"/>
      <c r="B256" s="26"/>
      <c r="C256" s="306"/>
      <c r="D256" s="84"/>
      <c r="E256" s="25" t="s">
        <v>12</v>
      </c>
      <c r="F256" s="25"/>
      <c r="G256" s="12"/>
      <c r="H256" s="12"/>
      <c r="I256" s="12"/>
      <c r="J256" s="17" t="s">
        <v>2</v>
      </c>
      <c r="K256" s="28">
        <v>42397.96</v>
      </c>
      <c r="L256" s="11">
        <v>3200</v>
      </c>
      <c r="M256" s="11">
        <v>2400</v>
      </c>
      <c r="N256" s="11">
        <f>950+450</f>
        <v>1400</v>
      </c>
      <c r="O256" s="11">
        <v>450</v>
      </c>
      <c r="P256" s="368" t="s">
        <v>11</v>
      </c>
      <c r="Q256" s="142"/>
      <c r="R256" s="142"/>
      <c r="S256" s="142"/>
      <c r="T256" s="142"/>
      <c r="U256" s="17"/>
      <c r="V256" s="17"/>
      <c r="W256" s="17"/>
      <c r="X256" s="17"/>
      <c r="Y256" s="17"/>
      <c r="Z256" s="491"/>
      <c r="AA256" s="532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</row>
    <row r="257" spans="1:46" s="6" customFormat="1" ht="13.8" thickBot="1" x14ac:dyDescent="0.3">
      <c r="A257" s="120"/>
      <c r="B257" s="120"/>
      <c r="C257" s="307"/>
      <c r="D257" s="89"/>
      <c r="E257" s="90" t="s">
        <v>16</v>
      </c>
      <c r="F257" s="90" t="s">
        <v>410</v>
      </c>
      <c r="G257" s="124"/>
      <c r="H257" s="124"/>
      <c r="I257" s="124"/>
      <c r="J257" s="41" t="s">
        <v>6</v>
      </c>
      <c r="K257" s="42">
        <f>K256+K255</f>
        <v>236397.96</v>
      </c>
      <c r="L257" s="43">
        <f>L256+L255</f>
        <v>23200</v>
      </c>
      <c r="M257" s="43">
        <f t="shared" ref="M257:N257" si="202">M256+M255</f>
        <v>22400</v>
      </c>
      <c r="N257" s="43">
        <f t="shared" si="202"/>
        <v>21400</v>
      </c>
      <c r="O257" s="43">
        <f>O256+O255</f>
        <v>18450</v>
      </c>
      <c r="P257" s="41" t="s">
        <v>11</v>
      </c>
      <c r="Q257" s="43"/>
      <c r="R257" s="43"/>
      <c r="S257" s="43"/>
      <c r="T257" s="43"/>
      <c r="U257" s="41"/>
      <c r="V257" s="41"/>
      <c r="W257" s="41"/>
      <c r="X257" s="41"/>
      <c r="Y257" s="41"/>
      <c r="Z257" s="492"/>
      <c r="AA257" s="533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</row>
    <row r="258" spans="1:46" s="6" customFormat="1" x14ac:dyDescent="0.25">
      <c r="A258" s="26"/>
      <c r="B258" s="26" t="s">
        <v>97</v>
      </c>
      <c r="C258" s="306"/>
      <c r="D258" s="10" t="s">
        <v>4</v>
      </c>
      <c r="E258" s="25">
        <v>38047</v>
      </c>
      <c r="F258" s="25" t="s">
        <v>283</v>
      </c>
      <c r="G258" s="12" t="s">
        <v>373</v>
      </c>
      <c r="H258" s="12"/>
      <c r="I258" s="12"/>
      <c r="J258" s="2" t="s">
        <v>1</v>
      </c>
      <c r="K258" s="27">
        <v>184000</v>
      </c>
      <c r="L258" s="4">
        <v>15000</v>
      </c>
      <c r="M258" s="4">
        <v>15000</v>
      </c>
      <c r="N258" s="4">
        <v>15000</v>
      </c>
      <c r="O258" s="4">
        <v>13000</v>
      </c>
      <c r="P258" s="283">
        <v>12000</v>
      </c>
      <c r="Q258" s="367" t="s">
        <v>11</v>
      </c>
      <c r="R258" s="283"/>
      <c r="S258" s="283"/>
      <c r="T258" s="283"/>
      <c r="U258" s="2"/>
      <c r="V258" s="2"/>
      <c r="W258" s="2"/>
      <c r="X258" s="2"/>
      <c r="Y258" s="2"/>
      <c r="Z258" s="490"/>
      <c r="AA258" s="60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1:46" s="6" customFormat="1" x14ac:dyDescent="0.25">
      <c r="A259" s="26"/>
      <c r="B259" s="26"/>
      <c r="C259" s="306"/>
      <c r="D259" s="84"/>
      <c r="E259" s="25" t="s">
        <v>13</v>
      </c>
      <c r="F259" s="25"/>
      <c r="G259" s="12"/>
      <c r="H259" s="12"/>
      <c r="I259" s="12"/>
      <c r="J259" s="17" t="s">
        <v>2</v>
      </c>
      <c r="K259" s="28">
        <v>41060.129999999997</v>
      </c>
      <c r="L259" s="11">
        <v>2975</v>
      </c>
      <c r="M259" s="11">
        <v>2375</v>
      </c>
      <c r="N259" s="11">
        <f>1000+625</f>
        <v>1625</v>
      </c>
      <c r="O259" s="11">
        <f>625+300</f>
        <v>925</v>
      </c>
      <c r="P259" s="142">
        <v>300</v>
      </c>
      <c r="Q259" s="368" t="s">
        <v>11</v>
      </c>
      <c r="R259" s="142"/>
      <c r="S259" s="142"/>
      <c r="T259" s="142"/>
      <c r="U259" s="17"/>
      <c r="V259" s="17"/>
      <c r="W259" s="17"/>
      <c r="X259" s="17"/>
      <c r="Y259" s="17"/>
      <c r="Z259" s="491"/>
      <c r="AA259" s="532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</row>
    <row r="260" spans="1:46" s="6" customFormat="1" ht="13.8" thickBot="1" x14ac:dyDescent="0.3">
      <c r="A260" s="120"/>
      <c r="B260" s="120"/>
      <c r="C260" s="307"/>
      <c r="D260" s="89"/>
      <c r="E260" s="90" t="s">
        <v>16</v>
      </c>
      <c r="F260" s="90" t="s">
        <v>410</v>
      </c>
      <c r="G260" s="124"/>
      <c r="H260" s="124"/>
      <c r="I260" s="124"/>
      <c r="J260" s="41" t="s">
        <v>6</v>
      </c>
      <c r="K260" s="42">
        <f>K259+K258</f>
        <v>225060.13</v>
      </c>
      <c r="L260" s="43">
        <f>L259+L258</f>
        <v>17975</v>
      </c>
      <c r="M260" s="43">
        <f t="shared" ref="M260:N260" si="203">M259+M258</f>
        <v>17375</v>
      </c>
      <c r="N260" s="43">
        <f t="shared" si="203"/>
        <v>16625</v>
      </c>
      <c r="O260" s="43">
        <f>O259+O258</f>
        <v>13925</v>
      </c>
      <c r="P260" s="43">
        <f>P259+P258</f>
        <v>12300</v>
      </c>
      <c r="Q260" s="41" t="s">
        <v>11</v>
      </c>
      <c r="R260" s="43"/>
      <c r="S260" s="43"/>
      <c r="T260" s="43"/>
      <c r="U260" s="41"/>
      <c r="V260" s="41"/>
      <c r="W260" s="41"/>
      <c r="X260" s="41"/>
      <c r="Y260" s="41"/>
      <c r="Z260" s="492"/>
      <c r="AA260" s="533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</row>
    <row r="261" spans="1:46" s="6" customFormat="1" x14ac:dyDescent="0.25">
      <c r="A261" s="26"/>
      <c r="B261" s="26" t="s">
        <v>97</v>
      </c>
      <c r="C261" s="306"/>
      <c r="D261" s="10" t="s">
        <v>4</v>
      </c>
      <c r="E261" s="25">
        <v>38047</v>
      </c>
      <c r="F261" s="25" t="s">
        <v>283</v>
      </c>
      <c r="G261" s="12" t="s">
        <v>374</v>
      </c>
      <c r="H261" s="12"/>
      <c r="I261" s="12"/>
      <c r="J261" s="2" t="s">
        <v>1</v>
      </c>
      <c r="K261" s="27">
        <v>53000</v>
      </c>
      <c r="L261" s="4">
        <v>5000</v>
      </c>
      <c r="M261" s="4">
        <v>5000</v>
      </c>
      <c r="N261" s="4">
        <v>5000</v>
      </c>
      <c r="O261" s="4">
        <v>5000</v>
      </c>
      <c r="P261" s="283">
        <v>4000</v>
      </c>
      <c r="Q261" s="367" t="s">
        <v>11</v>
      </c>
      <c r="R261" s="283"/>
      <c r="S261" s="283"/>
      <c r="T261" s="283"/>
      <c r="U261" s="2"/>
      <c r="V261" s="2"/>
      <c r="W261" s="2"/>
      <c r="X261" s="2"/>
      <c r="Y261" s="2"/>
      <c r="Z261" s="490"/>
      <c r="AA261" s="60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1:46" s="6" customFormat="1" x14ac:dyDescent="0.25">
      <c r="A262" s="26"/>
      <c r="B262" s="26"/>
      <c r="C262" s="306"/>
      <c r="D262" s="84"/>
      <c r="E262" s="25" t="s">
        <v>13</v>
      </c>
      <c r="F262" s="25"/>
      <c r="G262" s="12"/>
      <c r="H262" s="12"/>
      <c r="I262" s="12"/>
      <c r="J262" s="17" t="s">
        <v>2</v>
      </c>
      <c r="K262" s="28">
        <v>13063.8</v>
      </c>
      <c r="L262" s="11">
        <v>1025</v>
      </c>
      <c r="M262" s="11">
        <v>825</v>
      </c>
      <c r="N262" s="11">
        <f>350+225</f>
        <v>575</v>
      </c>
      <c r="O262" s="11">
        <f>225+100</f>
        <v>325</v>
      </c>
      <c r="P262" s="142">
        <v>100</v>
      </c>
      <c r="Q262" s="368" t="s">
        <v>11</v>
      </c>
      <c r="R262" s="142"/>
      <c r="S262" s="142"/>
      <c r="T262" s="142"/>
      <c r="U262" s="17"/>
      <c r="V262" s="17"/>
      <c r="W262" s="17"/>
      <c r="X262" s="17"/>
      <c r="Y262" s="17"/>
      <c r="Z262" s="491"/>
      <c r="AA262" s="532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</row>
    <row r="263" spans="1:46" s="6" customFormat="1" ht="13.8" thickBot="1" x14ac:dyDescent="0.3">
      <c r="A263" s="120"/>
      <c r="B263" s="120"/>
      <c r="C263" s="307"/>
      <c r="D263" s="89"/>
      <c r="E263" s="90" t="s">
        <v>16</v>
      </c>
      <c r="F263" s="90" t="s">
        <v>410</v>
      </c>
      <c r="G263" s="124"/>
      <c r="H263" s="124"/>
      <c r="I263" s="124"/>
      <c r="J263" s="41" t="s">
        <v>6</v>
      </c>
      <c r="K263" s="42">
        <f>K262+K261</f>
        <v>66063.8</v>
      </c>
      <c r="L263" s="43">
        <f>L262+L261</f>
        <v>6025</v>
      </c>
      <c r="M263" s="43">
        <f t="shared" ref="M263:N263" si="204">M262+M261</f>
        <v>5825</v>
      </c>
      <c r="N263" s="43">
        <f t="shared" si="204"/>
        <v>5575</v>
      </c>
      <c r="O263" s="43">
        <f>O262+O261</f>
        <v>5325</v>
      </c>
      <c r="P263" s="43">
        <f>P262+P261</f>
        <v>4100</v>
      </c>
      <c r="Q263" s="41" t="s">
        <v>11</v>
      </c>
      <c r="R263" s="43"/>
      <c r="S263" s="43"/>
      <c r="T263" s="43"/>
      <c r="U263" s="41"/>
      <c r="V263" s="41"/>
      <c r="W263" s="41"/>
      <c r="X263" s="41"/>
      <c r="Y263" s="41"/>
      <c r="Z263" s="492"/>
      <c r="AA263" s="533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</row>
    <row r="264" spans="1:46" s="6" customFormat="1" x14ac:dyDescent="0.25">
      <c r="A264" s="26"/>
      <c r="B264" s="26" t="s">
        <v>97</v>
      </c>
      <c r="C264" s="306"/>
      <c r="D264" s="10" t="s">
        <v>4</v>
      </c>
      <c r="E264" s="25">
        <v>38047</v>
      </c>
      <c r="F264" s="25" t="s">
        <v>283</v>
      </c>
      <c r="G264" s="12" t="s">
        <v>375</v>
      </c>
      <c r="H264" s="12"/>
      <c r="I264" s="12"/>
      <c r="J264" s="2" t="s">
        <v>1</v>
      </c>
      <c r="K264" s="27">
        <v>8000</v>
      </c>
      <c r="L264" s="2" t="s">
        <v>57</v>
      </c>
      <c r="M264" s="4"/>
      <c r="N264" s="4"/>
      <c r="O264" s="4"/>
      <c r="P264" s="283"/>
      <c r="Q264" s="283"/>
      <c r="R264" s="283"/>
      <c r="S264" s="283"/>
      <c r="T264" s="283"/>
      <c r="U264" s="2"/>
      <c r="V264" s="2"/>
      <c r="W264" s="2"/>
      <c r="X264" s="2"/>
      <c r="Y264" s="2"/>
      <c r="Z264" s="490"/>
      <c r="AA264" s="60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1:46" s="6" customFormat="1" x14ac:dyDescent="0.25">
      <c r="A265" s="26"/>
      <c r="B265" s="26"/>
      <c r="C265" s="306"/>
      <c r="D265" s="84"/>
      <c r="E265" s="25" t="s">
        <v>13</v>
      </c>
      <c r="F265" s="25"/>
      <c r="G265" s="12"/>
      <c r="H265" s="12"/>
      <c r="I265" s="12"/>
      <c r="J265" s="17" t="s">
        <v>2</v>
      </c>
      <c r="K265" s="28">
        <v>310.83</v>
      </c>
      <c r="L265" s="2" t="s">
        <v>57</v>
      </c>
      <c r="M265" s="11"/>
      <c r="N265" s="11"/>
      <c r="O265" s="11"/>
      <c r="P265" s="142"/>
      <c r="Q265" s="142"/>
      <c r="R265" s="142"/>
      <c r="S265" s="142"/>
      <c r="T265" s="142"/>
      <c r="U265" s="17"/>
      <c r="V265" s="17"/>
      <c r="W265" s="17"/>
      <c r="X265" s="17"/>
      <c r="Y265" s="17"/>
      <c r="Z265" s="491"/>
      <c r="AA265" s="532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</row>
    <row r="266" spans="1:46" s="6" customFormat="1" ht="13.8" thickBot="1" x14ac:dyDescent="0.3">
      <c r="A266" s="120"/>
      <c r="B266" s="120"/>
      <c r="C266" s="307"/>
      <c r="D266" s="89"/>
      <c r="E266" s="90" t="s">
        <v>16</v>
      </c>
      <c r="F266" s="90" t="s">
        <v>410</v>
      </c>
      <c r="G266" s="124"/>
      <c r="H266" s="124"/>
      <c r="I266" s="124"/>
      <c r="J266" s="41" t="s">
        <v>6</v>
      </c>
      <c r="K266" s="42">
        <f>K265+K264</f>
        <v>8310.83</v>
      </c>
      <c r="L266" s="41" t="s">
        <v>57</v>
      </c>
      <c r="M266" s="43"/>
      <c r="N266" s="43"/>
      <c r="O266" s="43"/>
      <c r="P266" s="43"/>
      <c r="Q266" s="43"/>
      <c r="R266" s="43"/>
      <c r="S266" s="43"/>
      <c r="T266" s="43"/>
      <c r="U266" s="41"/>
      <c r="V266" s="41"/>
      <c r="W266" s="41"/>
      <c r="X266" s="41"/>
      <c r="Y266" s="41"/>
      <c r="Z266" s="492"/>
      <c r="AA266" s="533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</row>
    <row r="267" spans="1:46" s="6" customFormat="1" x14ac:dyDescent="0.25">
      <c r="A267" s="26" t="s">
        <v>4</v>
      </c>
      <c r="B267" s="26" t="s">
        <v>97</v>
      </c>
      <c r="C267" s="306"/>
      <c r="D267" s="10" t="s">
        <v>4</v>
      </c>
      <c r="E267" s="25">
        <v>38047</v>
      </c>
      <c r="F267" s="25" t="s">
        <v>283</v>
      </c>
      <c r="G267" s="12" t="s">
        <v>398</v>
      </c>
      <c r="H267" s="12"/>
      <c r="I267" s="12"/>
      <c r="J267" s="2" t="s">
        <v>1</v>
      </c>
      <c r="K267" s="27">
        <v>914000</v>
      </c>
      <c r="L267" s="4">
        <v>90000</v>
      </c>
      <c r="M267" s="4">
        <v>90000</v>
      </c>
      <c r="N267" s="4">
        <v>90000</v>
      </c>
      <c r="O267" s="4">
        <v>90000</v>
      </c>
      <c r="P267" s="283">
        <v>90000</v>
      </c>
      <c r="Q267" s="283">
        <v>90000</v>
      </c>
      <c r="R267" s="283">
        <v>90000</v>
      </c>
      <c r="S267" s="283">
        <v>85000</v>
      </c>
      <c r="T267" s="367" t="s">
        <v>11</v>
      </c>
      <c r="U267" s="2"/>
      <c r="V267" s="2"/>
      <c r="W267" s="2"/>
      <c r="X267" s="2"/>
      <c r="Y267" s="2"/>
      <c r="Z267" s="490"/>
      <c r="AA267" s="60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1:46" s="6" customFormat="1" x14ac:dyDescent="0.25">
      <c r="A268" s="26"/>
      <c r="B268" s="26"/>
      <c r="C268" s="306"/>
      <c r="D268" s="84"/>
      <c r="E268" s="25" t="s">
        <v>13</v>
      </c>
      <c r="F268" s="25"/>
      <c r="G268" s="12"/>
      <c r="H268" s="12"/>
      <c r="I268" s="12"/>
      <c r="J268" s="17" t="s">
        <v>2</v>
      </c>
      <c r="K268" s="28">
        <v>377547.28</v>
      </c>
      <c r="L268" s="11">
        <v>30850</v>
      </c>
      <c r="M268" s="11">
        <v>27250</v>
      </c>
      <c r="N268" s="11">
        <f>12500+10250</f>
        <v>22750</v>
      </c>
      <c r="O268" s="11">
        <f>10250+8000</f>
        <v>18250</v>
      </c>
      <c r="P268" s="142">
        <f>8000+5750</f>
        <v>13750</v>
      </c>
      <c r="Q268" s="142">
        <f>5750+3500</f>
        <v>9250</v>
      </c>
      <c r="R268" s="142">
        <f>3500+1700</f>
        <v>5200</v>
      </c>
      <c r="S268" s="142">
        <v>1700</v>
      </c>
      <c r="T268" s="368" t="s">
        <v>11</v>
      </c>
      <c r="U268" s="17"/>
      <c r="V268" s="17"/>
      <c r="W268" s="17"/>
      <c r="X268" s="17"/>
      <c r="Y268" s="17"/>
      <c r="Z268" s="491"/>
      <c r="AA268" s="532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</row>
    <row r="269" spans="1:46" s="6" customFormat="1" ht="13.8" thickBot="1" x14ac:dyDescent="0.3">
      <c r="A269" s="120"/>
      <c r="B269" s="120"/>
      <c r="C269" s="307"/>
      <c r="D269" s="89"/>
      <c r="E269" s="90" t="s">
        <v>16</v>
      </c>
      <c r="F269" s="90" t="s">
        <v>410</v>
      </c>
      <c r="G269" s="124"/>
      <c r="H269" s="124"/>
      <c r="I269" s="124"/>
      <c r="J269" s="41" t="s">
        <v>6</v>
      </c>
      <c r="K269" s="42">
        <f>K268+K267</f>
        <v>1291547.28</v>
      </c>
      <c r="L269" s="43">
        <f>L268+L267</f>
        <v>120850</v>
      </c>
      <c r="M269" s="43">
        <f t="shared" ref="M269:N269" si="205">M268+M267</f>
        <v>117250</v>
      </c>
      <c r="N269" s="43">
        <f t="shared" si="205"/>
        <v>112750</v>
      </c>
      <c r="O269" s="43">
        <f>O268+O267</f>
        <v>108250</v>
      </c>
      <c r="P269" s="43">
        <f>P268+P267</f>
        <v>103750</v>
      </c>
      <c r="Q269" s="43">
        <f>Q268+Q267</f>
        <v>99250</v>
      </c>
      <c r="R269" s="43">
        <f t="shared" ref="R269" si="206">R268+R267</f>
        <v>95200</v>
      </c>
      <c r="S269" s="43">
        <f t="shared" ref="S269" si="207">S268+S267</f>
        <v>86700</v>
      </c>
      <c r="T269" s="41" t="s">
        <v>11</v>
      </c>
      <c r="U269" s="41"/>
      <c r="V269" s="41"/>
      <c r="W269" s="41"/>
      <c r="X269" s="41"/>
      <c r="Y269" s="41"/>
      <c r="Z269" s="492"/>
      <c r="AA269" s="533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</row>
    <row r="270" spans="1:46" s="6" customFormat="1" x14ac:dyDescent="0.25">
      <c r="A270" s="26" t="s">
        <v>4</v>
      </c>
      <c r="B270" s="26" t="s">
        <v>97</v>
      </c>
      <c r="C270" s="306"/>
      <c r="D270" s="10" t="s">
        <v>4</v>
      </c>
      <c r="E270" s="25">
        <v>38047</v>
      </c>
      <c r="F270" s="25" t="s">
        <v>283</v>
      </c>
      <c r="G270" s="12" t="s">
        <v>70</v>
      </c>
      <c r="H270" s="12"/>
      <c r="I270" s="12"/>
      <c r="J270" s="2" t="s">
        <v>1</v>
      </c>
      <c r="K270" s="27">
        <v>150000</v>
      </c>
      <c r="L270" s="4">
        <v>15000</v>
      </c>
      <c r="M270" s="4">
        <v>15000</v>
      </c>
      <c r="N270" s="4">
        <v>15000</v>
      </c>
      <c r="O270" s="4">
        <v>15000</v>
      </c>
      <c r="P270" s="283">
        <v>15000</v>
      </c>
      <c r="Q270" s="283">
        <v>15000</v>
      </c>
      <c r="R270" s="283">
        <v>15000</v>
      </c>
      <c r="S270" s="283">
        <v>10000</v>
      </c>
      <c r="T270" s="367" t="s">
        <v>11</v>
      </c>
      <c r="U270" s="2"/>
      <c r="V270" s="2"/>
      <c r="W270" s="2"/>
      <c r="X270" s="2"/>
      <c r="Y270" s="2"/>
      <c r="Z270" s="490"/>
      <c r="AA270" s="60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1:46" s="6" customFormat="1" x14ac:dyDescent="0.25">
      <c r="A271" s="26"/>
      <c r="B271" s="26"/>
      <c r="C271" s="306"/>
      <c r="D271" s="84"/>
      <c r="E271" s="25" t="s">
        <v>13</v>
      </c>
      <c r="F271" s="25"/>
      <c r="G271" s="12"/>
      <c r="H271" s="12"/>
      <c r="I271" s="12"/>
      <c r="J271" s="17" t="s">
        <v>2</v>
      </c>
      <c r="K271" s="28">
        <v>60642.44</v>
      </c>
      <c r="L271" s="11">
        <v>4975</v>
      </c>
      <c r="M271" s="11">
        <v>4375</v>
      </c>
      <c r="N271" s="11">
        <f>2000+1625</f>
        <v>3625</v>
      </c>
      <c r="O271" s="11">
        <f>1625+1250</f>
        <v>2875</v>
      </c>
      <c r="P271" s="142">
        <f>1250+875</f>
        <v>2125</v>
      </c>
      <c r="Q271" s="142">
        <f>875+500</f>
        <v>1375</v>
      </c>
      <c r="R271" s="142">
        <f>500+200</f>
        <v>700</v>
      </c>
      <c r="S271" s="142">
        <v>200</v>
      </c>
      <c r="T271" s="368" t="s">
        <v>11</v>
      </c>
      <c r="U271" s="17"/>
      <c r="V271" s="17"/>
      <c r="W271" s="17"/>
      <c r="X271" s="17"/>
      <c r="Y271" s="17"/>
      <c r="Z271" s="491"/>
      <c r="AA271" s="532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</row>
    <row r="272" spans="1:46" s="6" customFormat="1" ht="13.8" thickBot="1" x14ac:dyDescent="0.3">
      <c r="A272" s="120"/>
      <c r="B272" s="120"/>
      <c r="C272" s="307"/>
      <c r="D272" s="89"/>
      <c r="E272" s="90" t="s">
        <v>16</v>
      </c>
      <c r="F272" s="90" t="s">
        <v>410</v>
      </c>
      <c r="G272" s="124"/>
      <c r="H272" s="124"/>
      <c r="I272" s="124"/>
      <c r="J272" s="41" t="s">
        <v>6</v>
      </c>
      <c r="K272" s="42">
        <f>K271+K270</f>
        <v>210642.44</v>
      </c>
      <c r="L272" s="43">
        <f>L271+L270</f>
        <v>19975</v>
      </c>
      <c r="M272" s="43">
        <f t="shared" ref="M272:N272" si="208">M271+M270</f>
        <v>19375</v>
      </c>
      <c r="N272" s="43">
        <f t="shared" si="208"/>
        <v>18625</v>
      </c>
      <c r="O272" s="43">
        <f>O271+O270</f>
        <v>17875</v>
      </c>
      <c r="P272" s="43">
        <f>P271+P270</f>
        <v>17125</v>
      </c>
      <c r="Q272" s="43">
        <f>Q271+Q270</f>
        <v>16375</v>
      </c>
      <c r="R272" s="43">
        <f t="shared" ref="R272:S272" si="209">R271+R270</f>
        <v>15700</v>
      </c>
      <c r="S272" s="43">
        <f t="shared" si="209"/>
        <v>10200</v>
      </c>
      <c r="T272" s="41" t="s">
        <v>11</v>
      </c>
      <c r="U272" s="41"/>
      <c r="V272" s="41"/>
      <c r="W272" s="41"/>
      <c r="X272" s="41"/>
      <c r="Y272" s="41"/>
      <c r="Z272" s="492"/>
      <c r="AA272" s="533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</row>
    <row r="273" spans="1:46" s="8" customFormat="1" x14ac:dyDescent="0.25">
      <c r="A273" s="121"/>
      <c r="B273" s="121"/>
      <c r="C273" s="306"/>
      <c r="D273" s="55"/>
      <c r="E273" s="55"/>
      <c r="F273" s="55"/>
      <c r="G273" s="9" t="s">
        <v>7</v>
      </c>
      <c r="H273" s="9">
        <v>61771619</v>
      </c>
      <c r="I273" s="9">
        <v>591100</v>
      </c>
      <c r="J273" s="10" t="s">
        <v>1</v>
      </c>
      <c r="K273" s="31">
        <f>K270+K267+K264+K261+K258+K255</f>
        <v>1503000</v>
      </c>
      <c r="L273" s="7">
        <f>L270+L267+L261+L258+L255</f>
        <v>145000</v>
      </c>
      <c r="M273" s="7">
        <f>M270+M267+M261+M258+M255</f>
        <v>145000</v>
      </c>
      <c r="N273" s="7">
        <f t="shared" ref="N273" si="210">N270+N267+N261+N258+N255</f>
        <v>145000</v>
      </c>
      <c r="O273" s="7">
        <f>O270+O267+O261+O258+O255</f>
        <v>141000</v>
      </c>
      <c r="P273" s="7">
        <f>P270+P267+P261+P258</f>
        <v>121000</v>
      </c>
      <c r="Q273" s="7">
        <f>Q270+Q267</f>
        <v>105000</v>
      </c>
      <c r="R273" s="7">
        <f t="shared" ref="R273:S273" si="211">R270+R267</f>
        <v>105000</v>
      </c>
      <c r="S273" s="7">
        <f t="shared" si="211"/>
        <v>95000</v>
      </c>
      <c r="T273" s="3" t="s">
        <v>11</v>
      </c>
      <c r="U273" s="3"/>
      <c r="V273" s="3"/>
      <c r="W273" s="3"/>
      <c r="X273" s="3"/>
      <c r="Y273" s="3"/>
      <c r="Z273" s="104"/>
      <c r="AA273" s="58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 s="8" customFormat="1" x14ac:dyDescent="0.25">
      <c r="A274" s="121"/>
      <c r="B274" s="121"/>
      <c r="C274" s="306"/>
      <c r="D274" s="10"/>
      <c r="E274" s="10"/>
      <c r="F274" s="10"/>
      <c r="G274" s="10"/>
      <c r="H274" s="10">
        <v>61771619</v>
      </c>
      <c r="I274" s="10">
        <v>595100</v>
      </c>
      <c r="J274" s="19" t="s">
        <v>2</v>
      </c>
      <c r="K274" s="32">
        <f>K271+K268+K265+K262+K259+K256</f>
        <v>535022.44000000006</v>
      </c>
      <c r="L274" s="16">
        <f>L271+L268+L262+L259+L256</f>
        <v>43025</v>
      </c>
      <c r="M274" s="16">
        <f>M271+M268+M262+M259+M256</f>
        <v>37225</v>
      </c>
      <c r="N274" s="16">
        <f t="shared" ref="N274:O274" si="212">N271+N268+N262+N259+N256</f>
        <v>29975</v>
      </c>
      <c r="O274" s="16">
        <f t="shared" si="212"/>
        <v>22825</v>
      </c>
      <c r="P274" s="16">
        <f>P271+P268+P262+P259</f>
        <v>16275</v>
      </c>
      <c r="Q274" s="16">
        <f>Q271+Q268</f>
        <v>10625</v>
      </c>
      <c r="R274" s="16">
        <f t="shared" ref="R274:S274" si="213">R271+R268</f>
        <v>5900</v>
      </c>
      <c r="S274" s="16">
        <f t="shared" si="213"/>
        <v>1900</v>
      </c>
      <c r="T274" s="20" t="s">
        <v>11</v>
      </c>
      <c r="U274" s="20"/>
      <c r="V274" s="20"/>
      <c r="W274" s="20"/>
      <c r="X274" s="20"/>
      <c r="Y274" s="20"/>
      <c r="Z274" s="493"/>
      <c r="AA274" s="63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</row>
    <row r="275" spans="1:46" s="8" customFormat="1" ht="13.8" thickBot="1" x14ac:dyDescent="0.3">
      <c r="A275" s="122"/>
      <c r="B275" s="122"/>
      <c r="C275" s="307"/>
      <c r="D275" s="91"/>
      <c r="E275" s="91"/>
      <c r="F275" s="91"/>
      <c r="G275" s="91"/>
      <c r="H275" s="91"/>
      <c r="I275" s="91"/>
      <c r="J275" s="52" t="s">
        <v>5</v>
      </c>
      <c r="K275" s="53">
        <f>K274+K273</f>
        <v>2038022.44</v>
      </c>
      <c r="L275" s="46">
        <f>L274+L273</f>
        <v>188025</v>
      </c>
      <c r="M275" s="46">
        <f>M274+M273</f>
        <v>182225</v>
      </c>
      <c r="N275" s="46">
        <f t="shared" ref="N275:S275" si="214">N274+N273</f>
        <v>174975</v>
      </c>
      <c r="O275" s="46">
        <f t="shared" si="214"/>
        <v>163825</v>
      </c>
      <c r="P275" s="46">
        <f t="shared" si="214"/>
        <v>137275</v>
      </c>
      <c r="Q275" s="46">
        <f t="shared" si="214"/>
        <v>115625</v>
      </c>
      <c r="R275" s="46">
        <f t="shared" si="214"/>
        <v>110900</v>
      </c>
      <c r="S275" s="46">
        <f t="shared" si="214"/>
        <v>96900</v>
      </c>
      <c r="T275" s="47" t="s">
        <v>11</v>
      </c>
      <c r="U275" s="47"/>
      <c r="V275" s="47"/>
      <c r="W275" s="47"/>
      <c r="X275" s="47"/>
      <c r="Y275" s="47"/>
      <c r="Z275" s="494"/>
      <c r="AA275" s="65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</row>
    <row r="276" spans="1:46" s="3" customFormat="1" x14ac:dyDescent="0.25">
      <c r="A276" s="121"/>
      <c r="B276" s="121"/>
      <c r="C276" s="306"/>
      <c r="D276" s="102"/>
      <c r="E276" s="102"/>
      <c r="F276" s="102"/>
      <c r="G276" s="103" t="s">
        <v>520</v>
      </c>
      <c r="H276" s="103"/>
      <c r="I276" s="103"/>
      <c r="J276" s="104" t="s">
        <v>1</v>
      </c>
      <c r="K276" s="105">
        <f t="shared" ref="K276:R277" si="215">K273+K252+K213+K177</f>
        <v>19697000</v>
      </c>
      <c r="L276" s="7">
        <f t="shared" si="215"/>
        <v>2135000</v>
      </c>
      <c r="M276" s="7">
        <f t="shared" si="215"/>
        <v>2100000</v>
      </c>
      <c r="N276" s="7">
        <f t="shared" si="215"/>
        <v>2100000</v>
      </c>
      <c r="O276" s="7">
        <f t="shared" si="215"/>
        <v>1820000</v>
      </c>
      <c r="P276" s="7">
        <f t="shared" si="215"/>
        <v>1705000</v>
      </c>
      <c r="Q276" s="7">
        <f t="shared" si="215"/>
        <v>1615000</v>
      </c>
      <c r="R276" s="7">
        <f t="shared" si="215"/>
        <v>510000</v>
      </c>
      <c r="S276" s="7">
        <f>S273+S252+S213</f>
        <v>260000</v>
      </c>
      <c r="T276" s="7">
        <f>T252</f>
        <v>25000</v>
      </c>
      <c r="U276" s="3" t="s">
        <v>11</v>
      </c>
      <c r="V276" s="7"/>
      <c r="W276" s="7"/>
      <c r="X276" s="7"/>
      <c r="Y276" s="7"/>
      <c r="Z276" s="104"/>
      <c r="AA276" s="58"/>
      <c r="AD276" s="7"/>
      <c r="AI276" s="7"/>
      <c r="AN276" s="7"/>
    </row>
    <row r="277" spans="1:46" s="3" customFormat="1" ht="13.8" thickBot="1" x14ac:dyDescent="0.3">
      <c r="A277" s="121"/>
      <c r="B277" s="121"/>
      <c r="C277" s="306"/>
      <c r="D277" s="104"/>
      <c r="E277" s="104"/>
      <c r="F277" s="104"/>
      <c r="G277" s="103"/>
      <c r="H277" s="103"/>
      <c r="I277" s="103"/>
      <c r="J277" s="106" t="s">
        <v>2</v>
      </c>
      <c r="K277" s="107">
        <f t="shared" si="215"/>
        <v>6126734.6799999997</v>
      </c>
      <c r="L277" s="22">
        <f t="shared" si="215"/>
        <v>530825</v>
      </c>
      <c r="M277" s="22">
        <f t="shared" si="215"/>
        <v>446300</v>
      </c>
      <c r="N277" s="22">
        <f t="shared" si="215"/>
        <v>341300</v>
      </c>
      <c r="O277" s="22">
        <f t="shared" si="215"/>
        <v>243300</v>
      </c>
      <c r="P277" s="22">
        <f t="shared" si="215"/>
        <v>155175</v>
      </c>
      <c r="Q277" s="22">
        <f t="shared" si="215"/>
        <v>72175</v>
      </c>
      <c r="R277" s="22">
        <f t="shared" si="215"/>
        <v>21600</v>
      </c>
      <c r="S277" s="22">
        <f>S274+S253+S214</f>
        <v>6200</v>
      </c>
      <c r="T277" s="22">
        <f>T253</f>
        <v>500</v>
      </c>
      <c r="U277" s="23" t="s">
        <v>11</v>
      </c>
      <c r="V277" s="22"/>
      <c r="W277" s="22"/>
      <c r="X277" s="22"/>
      <c r="Y277" s="22"/>
      <c r="Z277" s="106"/>
      <c r="AA277" s="92"/>
      <c r="AB277" s="23"/>
      <c r="AC277" s="23"/>
      <c r="AD277" s="22"/>
      <c r="AE277" s="23"/>
      <c r="AF277" s="23"/>
      <c r="AG277" s="23"/>
      <c r="AH277" s="23"/>
      <c r="AI277" s="22"/>
      <c r="AJ277" s="23"/>
      <c r="AK277" s="23"/>
      <c r="AL277" s="23"/>
      <c r="AM277" s="23"/>
      <c r="AN277" s="22"/>
      <c r="AO277" s="23"/>
      <c r="AP277" s="23"/>
      <c r="AQ277" s="23"/>
      <c r="AR277" s="23"/>
      <c r="AS277" s="23"/>
      <c r="AT277" s="23"/>
    </row>
    <row r="278" spans="1:46" s="6" customFormat="1" x14ac:dyDescent="0.25">
      <c r="A278" s="26"/>
      <c r="B278" s="26"/>
      <c r="C278" s="306"/>
      <c r="D278" s="108"/>
      <c r="E278" s="108"/>
      <c r="F278" s="108"/>
      <c r="G278" s="118"/>
      <c r="H278" s="103"/>
      <c r="I278" s="103"/>
      <c r="J278" s="109" t="s">
        <v>5</v>
      </c>
      <c r="K278" s="110">
        <f>K277+K276</f>
        <v>25823734.68</v>
      </c>
      <c r="L278" s="67">
        <f>L277+L276</f>
        <v>2665825</v>
      </c>
      <c r="M278" s="67">
        <f t="shared" ref="M278:T278" si="216">SUM(M276:M277)</f>
        <v>2546300</v>
      </c>
      <c r="N278" s="67">
        <f t="shared" si="216"/>
        <v>2441300</v>
      </c>
      <c r="O278" s="67">
        <f t="shared" si="216"/>
        <v>2063300</v>
      </c>
      <c r="P278" s="67">
        <f t="shared" si="216"/>
        <v>1860175</v>
      </c>
      <c r="Q278" s="67">
        <f t="shared" si="216"/>
        <v>1687175</v>
      </c>
      <c r="R278" s="67">
        <f t="shared" si="216"/>
        <v>531600</v>
      </c>
      <c r="S278" s="67">
        <f t="shared" si="216"/>
        <v>266200</v>
      </c>
      <c r="T278" s="67">
        <f t="shared" si="216"/>
        <v>25500</v>
      </c>
      <c r="U278" s="134" t="s">
        <v>11</v>
      </c>
      <c r="V278" s="67"/>
      <c r="W278" s="67"/>
      <c r="X278" s="67"/>
      <c r="Y278" s="67"/>
      <c r="Z278" s="495"/>
      <c r="AA278" s="534"/>
      <c r="AB278" s="69"/>
      <c r="AC278" s="69"/>
      <c r="AD278" s="67"/>
      <c r="AE278" s="69"/>
      <c r="AF278" s="69"/>
      <c r="AG278" s="69"/>
      <c r="AH278" s="69"/>
      <c r="AI278" s="67"/>
      <c r="AJ278" s="69"/>
      <c r="AK278" s="69"/>
      <c r="AL278" s="69"/>
      <c r="AM278" s="69"/>
      <c r="AN278" s="67"/>
      <c r="AO278" s="69"/>
      <c r="AP278" s="69"/>
      <c r="AQ278" s="69"/>
      <c r="AR278" s="69"/>
      <c r="AS278" s="69"/>
      <c r="AT278" s="69"/>
    </row>
    <row r="279" spans="1:46" s="2" customFormat="1" x14ac:dyDescent="0.25">
      <c r="A279" s="119"/>
      <c r="B279" s="119"/>
      <c r="C279" s="308"/>
      <c r="D279" s="49"/>
      <c r="E279" s="49"/>
      <c r="F279" s="49"/>
      <c r="G279" s="128" t="s">
        <v>87</v>
      </c>
      <c r="H279" s="128"/>
      <c r="I279" s="128"/>
      <c r="J279" s="48"/>
      <c r="K279" s="96"/>
      <c r="L279" s="97"/>
      <c r="M279" s="97"/>
      <c r="N279" s="97"/>
      <c r="O279" s="97"/>
      <c r="P279" s="98"/>
      <c r="Q279" s="98"/>
      <c r="R279" s="98"/>
      <c r="S279" s="98"/>
      <c r="T279" s="9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</row>
    <row r="280" spans="1:46" s="2" customFormat="1" x14ac:dyDescent="0.25">
      <c r="A280" s="26"/>
      <c r="B280" s="26" t="s">
        <v>96</v>
      </c>
      <c r="C280" s="306"/>
      <c r="D280" s="33" t="s">
        <v>3</v>
      </c>
      <c r="E280" s="34">
        <v>38791</v>
      </c>
      <c r="F280" s="34" t="s">
        <v>269</v>
      </c>
      <c r="G280" s="35" t="s">
        <v>88</v>
      </c>
      <c r="H280" s="35"/>
      <c r="I280" s="35"/>
      <c r="J280" s="2" t="s">
        <v>1</v>
      </c>
      <c r="K280" s="27">
        <v>150000</v>
      </c>
      <c r="L280" s="4">
        <v>15000</v>
      </c>
      <c r="M280" s="4">
        <v>15000</v>
      </c>
      <c r="N280" s="4">
        <v>15000</v>
      </c>
      <c r="O280" s="4">
        <v>15000</v>
      </c>
      <c r="P280" s="283">
        <v>15000</v>
      </c>
      <c r="Q280" s="367" t="s">
        <v>11</v>
      </c>
      <c r="R280" s="283"/>
      <c r="S280" s="283"/>
      <c r="T280" s="283"/>
      <c r="Z280" s="490"/>
      <c r="AA280" s="60"/>
    </row>
    <row r="281" spans="1:46" s="2" customFormat="1" x14ac:dyDescent="0.25">
      <c r="A281" s="26"/>
      <c r="B281" s="26"/>
      <c r="C281" s="306"/>
      <c r="D281" s="33"/>
      <c r="E281" s="34" t="s">
        <v>12</v>
      </c>
      <c r="F281" s="34"/>
      <c r="G281" s="35" t="s">
        <v>215</v>
      </c>
      <c r="H281" s="35"/>
      <c r="I281" s="35"/>
      <c r="J281" s="17" t="s">
        <v>2</v>
      </c>
      <c r="K281" s="28">
        <v>34345</v>
      </c>
      <c r="L281" s="11">
        <v>3000</v>
      </c>
      <c r="M281" s="11">
        <v>2400</v>
      </c>
      <c r="N281" s="11">
        <f>900+900</f>
        <v>1800</v>
      </c>
      <c r="O281" s="11">
        <f>600+600</f>
        <v>1200</v>
      </c>
      <c r="P281" s="142">
        <v>600</v>
      </c>
      <c r="Q281" s="368" t="s">
        <v>11</v>
      </c>
      <c r="R281" s="142"/>
      <c r="S281" s="142"/>
      <c r="T281" s="142"/>
      <c r="U281" s="17"/>
      <c r="V281" s="17"/>
      <c r="W281" s="17"/>
      <c r="X281" s="17"/>
      <c r="Y281" s="17"/>
      <c r="Z281" s="491"/>
      <c r="AA281" s="532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</row>
    <row r="282" spans="1:46" s="6" customFormat="1" ht="13.8" thickBot="1" x14ac:dyDescent="0.3">
      <c r="A282" s="120"/>
      <c r="B282" s="120"/>
      <c r="C282" s="307"/>
      <c r="D282" s="85"/>
      <c r="E282" s="86" t="s">
        <v>161</v>
      </c>
      <c r="F282" s="86" t="s">
        <v>410</v>
      </c>
      <c r="G282" s="125"/>
      <c r="H282" s="125"/>
      <c r="I282" s="125"/>
      <c r="J282" s="41" t="s">
        <v>6</v>
      </c>
      <c r="K282" s="42">
        <f>K281+K280</f>
        <v>184345</v>
      </c>
      <c r="L282" s="43">
        <f>L281+L280</f>
        <v>18000</v>
      </c>
      <c r="M282" s="43">
        <f t="shared" ref="M282" si="217">M281+M280</f>
        <v>17400</v>
      </c>
      <c r="N282" s="43">
        <f>N281+N280</f>
        <v>16800</v>
      </c>
      <c r="O282" s="43">
        <f>O281+O280</f>
        <v>16200</v>
      </c>
      <c r="P282" s="43">
        <f>P281+P280</f>
        <v>15600</v>
      </c>
      <c r="Q282" s="41" t="s">
        <v>11</v>
      </c>
      <c r="R282" s="43"/>
      <c r="S282" s="43"/>
      <c r="T282" s="43"/>
      <c r="U282" s="41"/>
      <c r="V282" s="41"/>
      <c r="W282" s="41"/>
      <c r="X282" s="41"/>
      <c r="Y282" s="41"/>
      <c r="Z282" s="492"/>
      <c r="AA282" s="533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</row>
    <row r="283" spans="1:46" s="2" customFormat="1" x14ac:dyDescent="0.25">
      <c r="A283" s="26"/>
      <c r="B283" s="26" t="s">
        <v>96</v>
      </c>
      <c r="C283" s="306"/>
      <c r="D283" s="33" t="s">
        <v>3</v>
      </c>
      <c r="E283" s="34">
        <v>38791</v>
      </c>
      <c r="F283" s="34" t="s">
        <v>269</v>
      </c>
      <c r="G283" s="35" t="s">
        <v>222</v>
      </c>
      <c r="H283" s="35"/>
      <c r="I283" s="35"/>
      <c r="J283" s="2" t="s">
        <v>1</v>
      </c>
      <c r="K283" s="27">
        <v>114000</v>
      </c>
      <c r="L283" s="4">
        <v>15000</v>
      </c>
      <c r="M283" s="4">
        <v>15000</v>
      </c>
      <c r="N283" s="2" t="s">
        <v>11</v>
      </c>
      <c r="O283" s="4"/>
      <c r="P283" s="283"/>
      <c r="Q283" s="283"/>
      <c r="R283" s="283"/>
      <c r="S283" s="283"/>
      <c r="T283" s="283"/>
      <c r="Z283" s="490"/>
      <c r="AA283" s="60"/>
    </row>
    <row r="284" spans="1:46" s="2" customFormat="1" x14ac:dyDescent="0.25">
      <c r="A284" s="26"/>
      <c r="B284" s="26"/>
      <c r="C284" s="306"/>
      <c r="D284" s="33"/>
      <c r="E284" s="34" t="s">
        <v>12</v>
      </c>
      <c r="F284" s="34"/>
      <c r="G284" s="35" t="s">
        <v>223</v>
      </c>
      <c r="H284" s="35"/>
      <c r="I284" s="35"/>
      <c r="J284" s="17" t="s">
        <v>2</v>
      </c>
      <c r="K284" s="28">
        <v>18280</v>
      </c>
      <c r="L284" s="11">
        <v>1200</v>
      </c>
      <c r="M284" s="11">
        <v>600</v>
      </c>
      <c r="N284" s="17" t="s">
        <v>11</v>
      </c>
      <c r="O284" s="11"/>
      <c r="P284" s="142"/>
      <c r="Q284" s="142"/>
      <c r="R284" s="142"/>
      <c r="S284" s="142"/>
      <c r="T284" s="142"/>
      <c r="U284" s="17"/>
      <c r="V284" s="17"/>
      <c r="W284" s="17"/>
      <c r="X284" s="17"/>
      <c r="Y284" s="17"/>
      <c r="Z284" s="491"/>
      <c r="AA284" s="532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</row>
    <row r="285" spans="1:46" s="6" customFormat="1" ht="13.8" thickBot="1" x14ac:dyDescent="0.3">
      <c r="A285" s="120"/>
      <c r="B285" s="120"/>
      <c r="C285" s="307"/>
      <c r="D285" s="85"/>
      <c r="E285" s="86" t="s">
        <v>161</v>
      </c>
      <c r="F285" s="86" t="s">
        <v>410</v>
      </c>
      <c r="G285" s="125"/>
      <c r="H285" s="125"/>
      <c r="I285" s="125"/>
      <c r="J285" s="41" t="s">
        <v>6</v>
      </c>
      <c r="K285" s="42">
        <f t="shared" ref="K285:M285" si="218">K284+K283</f>
        <v>132280</v>
      </c>
      <c r="L285" s="43">
        <f t="shared" si="218"/>
        <v>16200</v>
      </c>
      <c r="M285" s="43">
        <f t="shared" si="218"/>
        <v>15600</v>
      </c>
      <c r="N285" s="41" t="s">
        <v>11</v>
      </c>
      <c r="O285" s="43"/>
      <c r="P285" s="43"/>
      <c r="Q285" s="43"/>
      <c r="R285" s="43"/>
      <c r="S285" s="43"/>
      <c r="T285" s="43"/>
      <c r="U285" s="41"/>
      <c r="V285" s="41"/>
      <c r="W285" s="41"/>
      <c r="X285" s="41"/>
      <c r="Y285" s="41"/>
      <c r="Z285" s="492"/>
      <c r="AA285" s="533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</row>
    <row r="286" spans="1:46" s="2" customFormat="1" x14ac:dyDescent="0.25">
      <c r="A286" s="26"/>
      <c r="B286" s="26" t="s">
        <v>96</v>
      </c>
      <c r="C286" s="306"/>
      <c r="D286" s="33" t="s">
        <v>3</v>
      </c>
      <c r="E286" s="34">
        <v>38791</v>
      </c>
      <c r="F286" s="34" t="s">
        <v>258</v>
      </c>
      <c r="G286" s="35" t="s">
        <v>360</v>
      </c>
      <c r="H286" s="35"/>
      <c r="I286" s="35"/>
      <c r="J286" s="2" t="s">
        <v>1</v>
      </c>
      <c r="K286" s="27">
        <v>750000</v>
      </c>
      <c r="L286" s="4">
        <v>95000</v>
      </c>
      <c r="M286" s="4">
        <v>90000</v>
      </c>
      <c r="N286" s="4">
        <v>90000</v>
      </c>
      <c r="O286" s="2" t="s">
        <v>11</v>
      </c>
      <c r="P286" s="283"/>
      <c r="Q286" s="283"/>
      <c r="R286" s="283"/>
      <c r="S286" s="283"/>
      <c r="T286" s="283"/>
      <c r="Z286" s="490"/>
      <c r="AA286" s="60"/>
    </row>
    <row r="287" spans="1:46" s="2" customFormat="1" x14ac:dyDescent="0.25">
      <c r="A287" s="26"/>
      <c r="B287" s="26"/>
      <c r="C287" s="306"/>
      <c r="D287" s="33"/>
      <c r="E287" s="34" t="s">
        <v>12</v>
      </c>
      <c r="F287" s="34"/>
      <c r="G287" s="35" t="s">
        <v>235</v>
      </c>
      <c r="H287" s="35"/>
      <c r="I287" s="35"/>
      <c r="J287" s="17" t="s">
        <v>2</v>
      </c>
      <c r="K287" s="28">
        <v>137362.5</v>
      </c>
      <c r="L287" s="11">
        <v>11000</v>
      </c>
      <c r="M287" s="11">
        <v>7200</v>
      </c>
      <c r="N287" s="11">
        <f>1800+1800</f>
        <v>3600</v>
      </c>
      <c r="O287" s="17" t="s">
        <v>11</v>
      </c>
      <c r="P287" s="142"/>
      <c r="Q287" s="142"/>
      <c r="R287" s="142"/>
      <c r="S287" s="142"/>
      <c r="T287" s="142"/>
      <c r="U287" s="17"/>
      <c r="V287" s="17"/>
      <c r="W287" s="17"/>
      <c r="X287" s="17"/>
      <c r="Y287" s="17"/>
      <c r="Z287" s="491"/>
      <c r="AA287" s="532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</row>
    <row r="288" spans="1:46" s="6" customFormat="1" ht="13.8" thickBot="1" x14ac:dyDescent="0.3">
      <c r="A288" s="120"/>
      <c r="B288" s="120"/>
      <c r="C288" s="307"/>
      <c r="D288" s="85"/>
      <c r="E288" s="86" t="s">
        <v>160</v>
      </c>
      <c r="F288" s="86" t="s">
        <v>410</v>
      </c>
      <c r="G288" s="125" t="s">
        <v>232</v>
      </c>
      <c r="H288" s="125"/>
      <c r="I288" s="125"/>
      <c r="J288" s="41" t="s">
        <v>6</v>
      </c>
      <c r="K288" s="42">
        <f>K287+K286</f>
        <v>887362.5</v>
      </c>
      <c r="L288" s="43">
        <f>L287+L286</f>
        <v>106000</v>
      </c>
      <c r="M288" s="43">
        <f t="shared" ref="M288:N288" si="219">M287+M286</f>
        <v>97200</v>
      </c>
      <c r="N288" s="43">
        <f t="shared" si="219"/>
        <v>93600</v>
      </c>
      <c r="O288" s="41" t="s">
        <v>11</v>
      </c>
      <c r="P288" s="43"/>
      <c r="Q288" s="43"/>
      <c r="R288" s="43"/>
      <c r="S288" s="43"/>
      <c r="T288" s="43"/>
      <c r="U288" s="41"/>
      <c r="V288" s="41"/>
      <c r="W288" s="41"/>
      <c r="X288" s="41"/>
      <c r="Y288" s="41"/>
      <c r="Z288" s="492"/>
      <c r="AA288" s="533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</row>
    <row r="289" spans="1:46" s="2" customFormat="1" x14ac:dyDescent="0.25">
      <c r="A289" s="26"/>
      <c r="B289" s="26" t="s">
        <v>96</v>
      </c>
      <c r="C289" s="306"/>
      <c r="D289" s="33" t="s">
        <v>3</v>
      </c>
      <c r="E289" s="34">
        <v>38791</v>
      </c>
      <c r="F289" s="34" t="s">
        <v>258</v>
      </c>
      <c r="G289" s="35" t="s">
        <v>367</v>
      </c>
      <c r="H289" s="35">
        <v>61450128</v>
      </c>
      <c r="I289" s="35">
        <v>585100</v>
      </c>
      <c r="J289" s="2" t="s">
        <v>1</v>
      </c>
      <c r="K289" s="27">
        <v>29648</v>
      </c>
      <c r="L289" s="2" t="s">
        <v>43</v>
      </c>
      <c r="M289" s="4"/>
      <c r="N289" s="4"/>
      <c r="O289" s="4"/>
      <c r="P289" s="283"/>
      <c r="Q289" s="283"/>
      <c r="R289" s="283"/>
      <c r="S289" s="283"/>
      <c r="T289" s="283"/>
      <c r="Z289" s="490"/>
      <c r="AA289" s="60"/>
    </row>
    <row r="290" spans="1:46" s="2" customFormat="1" x14ac:dyDescent="0.25">
      <c r="A290" s="26"/>
      <c r="B290" s="26"/>
      <c r="C290" s="306"/>
      <c r="D290" s="33"/>
      <c r="E290" s="34" t="s">
        <v>12</v>
      </c>
      <c r="F290" s="34"/>
      <c r="G290" s="35" t="s">
        <v>558</v>
      </c>
      <c r="H290" s="35"/>
      <c r="I290" s="35"/>
      <c r="J290" s="17" t="s">
        <v>2</v>
      </c>
      <c r="K290" s="28">
        <v>3557.54</v>
      </c>
      <c r="L290" s="17" t="s">
        <v>43</v>
      </c>
      <c r="M290" s="11"/>
      <c r="N290" s="11"/>
      <c r="O290" s="11"/>
      <c r="P290" s="142"/>
      <c r="Q290" s="142"/>
      <c r="R290" s="142"/>
      <c r="S290" s="142"/>
      <c r="T290" s="142"/>
      <c r="U290" s="17"/>
      <c r="V290" s="17"/>
      <c r="W290" s="17"/>
      <c r="X290" s="17"/>
      <c r="Y290" s="17"/>
      <c r="Z290" s="491"/>
      <c r="AA290" s="532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</row>
    <row r="291" spans="1:46" s="6" customFormat="1" ht="13.8" thickBot="1" x14ac:dyDescent="0.3">
      <c r="A291" s="120"/>
      <c r="B291" s="120"/>
      <c r="C291" s="307"/>
      <c r="D291" s="85"/>
      <c r="E291" s="86" t="s">
        <v>160</v>
      </c>
      <c r="F291" s="86" t="s">
        <v>410</v>
      </c>
      <c r="G291" s="125" t="s">
        <v>559</v>
      </c>
      <c r="H291" s="125"/>
      <c r="I291" s="125"/>
      <c r="J291" s="41" t="s">
        <v>6</v>
      </c>
      <c r="K291" s="42">
        <f>K290+K289</f>
        <v>33205.54</v>
      </c>
      <c r="L291" s="41" t="s">
        <v>43</v>
      </c>
      <c r="M291" s="43"/>
      <c r="N291" s="43"/>
      <c r="O291" s="43"/>
      <c r="P291" s="43"/>
      <c r="Q291" s="43"/>
      <c r="R291" s="43"/>
      <c r="S291" s="43"/>
      <c r="T291" s="43"/>
      <c r="U291" s="41"/>
      <c r="V291" s="41"/>
      <c r="W291" s="41"/>
      <c r="X291" s="41"/>
      <c r="Y291" s="41"/>
      <c r="Z291" s="492"/>
      <c r="AA291" s="533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</row>
    <row r="292" spans="1:46" s="2" customFormat="1" x14ac:dyDescent="0.25">
      <c r="A292" s="26"/>
      <c r="B292" s="26" t="s">
        <v>96</v>
      </c>
      <c r="C292" s="306"/>
      <c r="D292" s="33" t="s">
        <v>3</v>
      </c>
      <c r="E292" s="34">
        <v>38791</v>
      </c>
      <c r="F292" s="34" t="s">
        <v>258</v>
      </c>
      <c r="G292" s="35" t="s">
        <v>680</v>
      </c>
      <c r="H292" s="35">
        <v>31422419</v>
      </c>
      <c r="I292" s="35">
        <v>585103</v>
      </c>
      <c r="J292" s="2" t="s">
        <v>1</v>
      </c>
      <c r="K292" s="27">
        <v>90000</v>
      </c>
      <c r="L292" s="2" t="s">
        <v>43</v>
      </c>
      <c r="M292" s="4"/>
      <c r="N292" s="4"/>
      <c r="O292" s="4"/>
      <c r="P292" s="283"/>
      <c r="Q292" s="283"/>
      <c r="R292" s="283"/>
      <c r="S292" s="283"/>
      <c r="T292" s="283"/>
      <c r="Z292" s="490"/>
      <c r="AA292" s="60"/>
    </row>
    <row r="293" spans="1:46" s="2" customFormat="1" x14ac:dyDescent="0.25">
      <c r="A293" s="26"/>
      <c r="B293" s="26"/>
      <c r="C293" s="306"/>
      <c r="D293" s="33"/>
      <c r="E293" s="34" t="s">
        <v>12</v>
      </c>
      <c r="F293" s="34"/>
      <c r="G293" s="35" t="s">
        <v>212</v>
      </c>
      <c r="H293" s="35"/>
      <c r="I293" s="35"/>
      <c r="J293" s="17" t="s">
        <v>2</v>
      </c>
      <c r="K293" s="28">
        <v>10950</v>
      </c>
      <c r="L293" s="17" t="s">
        <v>43</v>
      </c>
      <c r="M293" s="11"/>
      <c r="N293" s="11"/>
      <c r="O293" s="11"/>
      <c r="P293" s="142"/>
      <c r="Q293" s="142"/>
      <c r="R293" s="142"/>
      <c r="S293" s="142"/>
      <c r="T293" s="142"/>
      <c r="U293" s="17"/>
      <c r="V293" s="17"/>
      <c r="W293" s="17"/>
      <c r="X293" s="17"/>
      <c r="Y293" s="17"/>
      <c r="Z293" s="491"/>
      <c r="AA293" s="532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</row>
    <row r="294" spans="1:46" s="6" customFormat="1" ht="13.8" thickBot="1" x14ac:dyDescent="0.3">
      <c r="A294" s="120"/>
      <c r="B294" s="120"/>
      <c r="C294" s="307"/>
      <c r="D294" s="85"/>
      <c r="E294" s="86" t="s">
        <v>160</v>
      </c>
      <c r="F294" s="86" t="s">
        <v>410</v>
      </c>
      <c r="G294" s="125"/>
      <c r="H294" s="125"/>
      <c r="I294" s="125"/>
      <c r="J294" s="41" t="s">
        <v>6</v>
      </c>
      <c r="K294" s="42">
        <f>K293+K292</f>
        <v>100950</v>
      </c>
      <c r="L294" s="41" t="s">
        <v>43</v>
      </c>
      <c r="M294" s="43"/>
      <c r="N294" s="43"/>
      <c r="O294" s="43"/>
      <c r="P294" s="43"/>
      <c r="Q294" s="43"/>
      <c r="R294" s="43"/>
      <c r="S294" s="43"/>
      <c r="T294" s="43"/>
      <c r="U294" s="41"/>
      <c r="V294" s="41"/>
      <c r="W294" s="41"/>
      <c r="X294" s="41"/>
      <c r="Y294" s="41"/>
      <c r="Z294" s="492"/>
      <c r="AA294" s="533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</row>
    <row r="295" spans="1:46" s="2" customFormat="1" x14ac:dyDescent="0.25">
      <c r="A295" s="26"/>
      <c r="B295" s="26" t="s">
        <v>96</v>
      </c>
      <c r="C295" s="306"/>
      <c r="D295" s="33" t="s">
        <v>3</v>
      </c>
      <c r="E295" s="34">
        <v>38791</v>
      </c>
      <c r="F295" s="34" t="s">
        <v>258</v>
      </c>
      <c r="G295" s="35" t="s">
        <v>210</v>
      </c>
      <c r="H295" s="35"/>
      <c r="I295" s="35"/>
      <c r="J295" s="2" t="s">
        <v>1</v>
      </c>
      <c r="K295" s="27">
        <v>125000</v>
      </c>
      <c r="L295" s="2" t="s">
        <v>43</v>
      </c>
      <c r="M295" s="4"/>
      <c r="N295" s="4"/>
      <c r="O295" s="4"/>
      <c r="P295" s="283"/>
      <c r="Q295" s="283"/>
      <c r="R295" s="283"/>
      <c r="S295" s="283"/>
      <c r="T295" s="283"/>
      <c r="Z295" s="490"/>
      <c r="AA295" s="60"/>
    </row>
    <row r="296" spans="1:46" s="2" customFormat="1" x14ac:dyDescent="0.25">
      <c r="A296" s="26"/>
      <c r="B296" s="26"/>
      <c r="C296" s="306"/>
      <c r="D296" s="33"/>
      <c r="E296" s="34" t="s">
        <v>12</v>
      </c>
      <c r="F296" s="34"/>
      <c r="G296" s="35" t="s">
        <v>211</v>
      </c>
      <c r="H296" s="35"/>
      <c r="I296" s="35"/>
      <c r="J296" s="17" t="s">
        <v>2</v>
      </c>
      <c r="K296" s="28">
        <v>15937.5</v>
      </c>
      <c r="L296" s="17" t="s">
        <v>43</v>
      </c>
      <c r="M296" s="11"/>
      <c r="N296" s="11"/>
      <c r="O296" s="11"/>
      <c r="P296" s="142"/>
      <c r="Q296" s="142"/>
      <c r="R296" s="142"/>
      <c r="S296" s="142"/>
      <c r="T296" s="142"/>
      <c r="U296" s="17"/>
      <c r="V296" s="17"/>
      <c r="W296" s="17"/>
      <c r="X296" s="17"/>
      <c r="Y296" s="17"/>
      <c r="Z296" s="491"/>
      <c r="AA296" s="532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</row>
    <row r="297" spans="1:46" s="6" customFormat="1" ht="13.8" thickBot="1" x14ac:dyDescent="0.3">
      <c r="A297" s="120"/>
      <c r="B297" s="120"/>
      <c r="C297" s="307"/>
      <c r="D297" s="85"/>
      <c r="E297" s="86" t="s">
        <v>160</v>
      </c>
      <c r="F297" s="86" t="s">
        <v>410</v>
      </c>
      <c r="G297" s="125"/>
      <c r="H297" s="125"/>
      <c r="I297" s="125"/>
      <c r="J297" s="41" t="s">
        <v>6</v>
      </c>
      <c r="K297" s="42">
        <f>K296+K295</f>
        <v>140937.5</v>
      </c>
      <c r="L297" s="41" t="s">
        <v>43</v>
      </c>
      <c r="M297" s="43"/>
      <c r="N297" s="43"/>
      <c r="O297" s="43"/>
      <c r="P297" s="43"/>
      <c r="Q297" s="43"/>
      <c r="R297" s="43"/>
      <c r="S297" s="43"/>
      <c r="T297" s="43"/>
      <c r="U297" s="41"/>
      <c r="V297" s="41"/>
      <c r="W297" s="41"/>
      <c r="X297" s="41"/>
      <c r="Y297" s="41"/>
      <c r="Z297" s="492"/>
      <c r="AA297" s="533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</row>
    <row r="298" spans="1:46" s="2" customFormat="1" x14ac:dyDescent="0.25">
      <c r="A298" s="26"/>
      <c r="B298" s="26" t="s">
        <v>96</v>
      </c>
      <c r="C298" s="306"/>
      <c r="D298" s="33" t="s">
        <v>3</v>
      </c>
      <c r="E298" s="34">
        <v>38791</v>
      </c>
      <c r="F298" s="34" t="s">
        <v>258</v>
      </c>
      <c r="G298" s="35" t="s">
        <v>139</v>
      </c>
      <c r="H298" s="35"/>
      <c r="I298" s="35"/>
      <c r="J298" s="2" t="s">
        <v>1</v>
      </c>
      <c r="K298" s="27">
        <v>180000</v>
      </c>
      <c r="L298" s="2" t="s">
        <v>43</v>
      </c>
      <c r="M298" s="4"/>
      <c r="N298" s="4"/>
      <c r="O298" s="4"/>
      <c r="P298" s="283"/>
      <c r="Q298" s="283"/>
      <c r="R298" s="283"/>
      <c r="S298" s="283"/>
      <c r="T298" s="283"/>
      <c r="Z298" s="490"/>
      <c r="AA298" s="60"/>
    </row>
    <row r="299" spans="1:46" s="2" customFormat="1" x14ac:dyDescent="0.25">
      <c r="A299" s="26"/>
      <c r="B299" s="26"/>
      <c r="C299" s="306"/>
      <c r="D299" s="33"/>
      <c r="E299" s="34" t="s">
        <v>12</v>
      </c>
      <c r="F299" s="34"/>
      <c r="G299" s="35" t="s">
        <v>224</v>
      </c>
      <c r="H299" s="35"/>
      <c r="I299" s="35"/>
      <c r="J299" s="17" t="s">
        <v>2</v>
      </c>
      <c r="K299" s="28">
        <v>22025</v>
      </c>
      <c r="L299" s="17" t="s">
        <v>43</v>
      </c>
      <c r="M299" s="11"/>
      <c r="N299" s="11"/>
      <c r="O299" s="11"/>
      <c r="P299" s="142"/>
      <c r="Q299" s="142"/>
      <c r="R299" s="142"/>
      <c r="S299" s="142"/>
      <c r="T299" s="142"/>
      <c r="U299" s="17"/>
      <c r="V299" s="17"/>
      <c r="W299" s="17"/>
      <c r="X299" s="17"/>
      <c r="Y299" s="17"/>
      <c r="Z299" s="491"/>
      <c r="AA299" s="532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</row>
    <row r="300" spans="1:46" s="6" customFormat="1" ht="13.8" thickBot="1" x14ac:dyDescent="0.3">
      <c r="A300" s="120"/>
      <c r="B300" s="120"/>
      <c r="C300" s="307"/>
      <c r="D300" s="85"/>
      <c r="E300" s="86" t="s">
        <v>160</v>
      </c>
      <c r="F300" s="86" t="s">
        <v>410</v>
      </c>
      <c r="G300" s="125"/>
      <c r="H300" s="125"/>
      <c r="I300" s="125"/>
      <c r="J300" s="41" t="s">
        <v>6</v>
      </c>
      <c r="K300" s="42">
        <f>K299+K298</f>
        <v>202025</v>
      </c>
      <c r="L300" s="41" t="s">
        <v>43</v>
      </c>
      <c r="M300" s="43"/>
      <c r="N300" s="43"/>
      <c r="O300" s="43"/>
      <c r="P300" s="43"/>
      <c r="Q300" s="43"/>
      <c r="R300" s="43"/>
      <c r="S300" s="43"/>
      <c r="T300" s="43"/>
      <c r="U300" s="41"/>
      <c r="V300" s="41"/>
      <c r="W300" s="41"/>
      <c r="X300" s="41"/>
      <c r="Y300" s="41"/>
      <c r="Z300" s="492"/>
      <c r="AA300" s="533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</row>
    <row r="301" spans="1:46" s="2" customFormat="1" x14ac:dyDescent="0.25">
      <c r="A301" s="26"/>
      <c r="B301" s="26" t="s">
        <v>96</v>
      </c>
      <c r="C301" s="306"/>
      <c r="D301" s="33" t="s">
        <v>3</v>
      </c>
      <c r="E301" s="34">
        <v>38791</v>
      </c>
      <c r="F301" s="34" t="s">
        <v>258</v>
      </c>
      <c r="G301" s="35" t="s">
        <v>366</v>
      </c>
      <c r="H301" s="35"/>
      <c r="I301" s="35"/>
      <c r="J301" s="2" t="s">
        <v>1</v>
      </c>
      <c r="K301" s="27">
        <v>55500</v>
      </c>
      <c r="L301" s="2" t="s">
        <v>43</v>
      </c>
      <c r="M301" s="4"/>
      <c r="N301" s="4"/>
      <c r="O301" s="4"/>
      <c r="P301" s="283"/>
      <c r="Q301" s="283"/>
      <c r="R301" s="283"/>
      <c r="S301" s="283"/>
      <c r="T301" s="283"/>
      <c r="Z301" s="490"/>
      <c r="AA301" s="60"/>
    </row>
    <row r="302" spans="1:46" s="2" customFormat="1" x14ac:dyDescent="0.25">
      <c r="A302" s="26"/>
      <c r="B302" s="26"/>
      <c r="C302" s="306"/>
      <c r="D302" s="33"/>
      <c r="E302" s="34" t="s">
        <v>12</v>
      </c>
      <c r="F302" s="34"/>
      <c r="G302" s="35" t="s">
        <v>234</v>
      </c>
      <c r="H302" s="35"/>
      <c r="I302" s="35"/>
      <c r="J302" s="17" t="s">
        <v>2</v>
      </c>
      <c r="K302" s="28">
        <v>6108.75</v>
      </c>
      <c r="L302" s="17" t="s">
        <v>43</v>
      </c>
      <c r="M302" s="11"/>
      <c r="N302" s="11"/>
      <c r="O302" s="11"/>
      <c r="P302" s="142"/>
      <c r="Q302" s="142"/>
      <c r="R302" s="142"/>
      <c r="S302" s="142"/>
      <c r="T302" s="142"/>
      <c r="U302" s="17"/>
      <c r="V302" s="17"/>
      <c r="W302" s="17"/>
      <c r="X302" s="17"/>
      <c r="Y302" s="17"/>
      <c r="Z302" s="491"/>
      <c r="AA302" s="532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</row>
    <row r="303" spans="1:46" s="6" customFormat="1" ht="13.8" thickBot="1" x14ac:dyDescent="0.3">
      <c r="A303" s="120"/>
      <c r="B303" s="120"/>
      <c r="C303" s="307"/>
      <c r="D303" s="85"/>
      <c r="E303" s="86" t="s">
        <v>17</v>
      </c>
      <c r="F303" s="86" t="s">
        <v>410</v>
      </c>
      <c r="G303" s="125" t="s">
        <v>233</v>
      </c>
      <c r="H303" s="125"/>
      <c r="I303" s="125"/>
      <c r="J303" s="41" t="s">
        <v>6</v>
      </c>
      <c r="K303" s="42">
        <f>K302+K301</f>
        <v>61608.75</v>
      </c>
      <c r="L303" s="41" t="s">
        <v>43</v>
      </c>
      <c r="M303" s="43"/>
      <c r="N303" s="43"/>
      <c r="O303" s="43"/>
      <c r="P303" s="43"/>
      <c r="Q303" s="43"/>
      <c r="R303" s="43"/>
      <c r="S303" s="43"/>
      <c r="T303" s="43"/>
      <c r="U303" s="41"/>
      <c r="V303" s="41"/>
      <c r="W303" s="41"/>
      <c r="X303" s="41"/>
      <c r="Y303" s="41"/>
      <c r="Z303" s="492"/>
      <c r="AA303" s="533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</row>
    <row r="304" spans="1:46" s="2" customFormat="1" x14ac:dyDescent="0.25">
      <c r="A304" s="26"/>
      <c r="B304" s="26" t="s">
        <v>96</v>
      </c>
      <c r="C304" s="306"/>
      <c r="D304" s="33" t="s">
        <v>3</v>
      </c>
      <c r="E304" s="34">
        <v>38791</v>
      </c>
      <c r="F304" s="34" t="s">
        <v>260</v>
      </c>
      <c r="G304" s="35" t="s">
        <v>217</v>
      </c>
      <c r="H304" s="35">
        <v>31155064</v>
      </c>
      <c r="I304" s="35">
        <v>585003</v>
      </c>
      <c r="J304" s="2" t="s">
        <v>1</v>
      </c>
      <c r="K304" s="27">
        <v>442000</v>
      </c>
      <c r="L304" s="2" t="s">
        <v>43</v>
      </c>
      <c r="M304" s="4"/>
      <c r="N304" s="4"/>
      <c r="O304" s="4"/>
      <c r="P304" s="283"/>
      <c r="Q304" s="283"/>
      <c r="R304" s="283"/>
      <c r="S304" s="283"/>
      <c r="T304" s="283"/>
      <c r="Z304" s="490"/>
      <c r="AA304" s="60"/>
    </row>
    <row r="305" spans="1:46" s="2" customFormat="1" x14ac:dyDescent="0.25">
      <c r="A305" s="26"/>
      <c r="B305" s="26"/>
      <c r="C305" s="306"/>
      <c r="D305" s="33"/>
      <c r="E305" s="34" t="s">
        <v>12</v>
      </c>
      <c r="F305" s="34"/>
      <c r="G305" s="35" t="s">
        <v>285</v>
      </c>
      <c r="H305" s="35"/>
      <c r="I305" s="35"/>
      <c r="J305" s="17" t="s">
        <v>2</v>
      </c>
      <c r="K305" s="28">
        <v>49297.5</v>
      </c>
      <c r="L305" s="17" t="s">
        <v>43</v>
      </c>
      <c r="M305" s="11"/>
      <c r="N305" s="11"/>
      <c r="O305" s="11"/>
      <c r="P305" s="142"/>
      <c r="Q305" s="142"/>
      <c r="R305" s="142"/>
      <c r="S305" s="142"/>
      <c r="T305" s="142"/>
      <c r="U305" s="17"/>
      <c r="V305" s="17"/>
      <c r="W305" s="17"/>
      <c r="X305" s="17"/>
      <c r="Y305" s="17"/>
      <c r="Z305" s="491"/>
      <c r="AA305" s="532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</row>
    <row r="306" spans="1:46" s="6" customFormat="1" ht="13.8" thickBot="1" x14ac:dyDescent="0.3">
      <c r="A306" s="120"/>
      <c r="B306" s="120"/>
      <c r="C306" s="307"/>
      <c r="D306" s="85"/>
      <c r="E306" s="86" t="s">
        <v>160</v>
      </c>
      <c r="F306" s="86" t="s">
        <v>410</v>
      </c>
      <c r="G306" s="125" t="s">
        <v>286</v>
      </c>
      <c r="H306" s="125"/>
      <c r="I306" s="125"/>
      <c r="J306" s="41" t="s">
        <v>6</v>
      </c>
      <c r="K306" s="42">
        <f>K305+K304</f>
        <v>491297.5</v>
      </c>
      <c r="L306" s="41" t="s">
        <v>43</v>
      </c>
      <c r="M306" s="43"/>
      <c r="N306" s="43"/>
      <c r="O306" s="43"/>
      <c r="P306" s="43"/>
      <c r="Q306" s="43"/>
      <c r="R306" s="43"/>
      <c r="S306" s="43"/>
      <c r="T306" s="43"/>
      <c r="U306" s="41"/>
      <c r="V306" s="41"/>
      <c r="W306" s="41"/>
      <c r="X306" s="41"/>
      <c r="Y306" s="41"/>
      <c r="Z306" s="492"/>
      <c r="AA306" s="533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</row>
    <row r="307" spans="1:46" s="3" customFormat="1" x14ac:dyDescent="0.25">
      <c r="A307" s="121"/>
      <c r="B307" s="121"/>
      <c r="C307" s="306"/>
      <c r="D307" s="54"/>
      <c r="E307" s="54"/>
      <c r="F307" s="54"/>
      <c r="G307" s="36" t="s">
        <v>32</v>
      </c>
      <c r="H307" s="152">
        <v>1772219</v>
      </c>
      <c r="I307" s="36">
        <v>591100</v>
      </c>
      <c r="J307" s="33" t="s">
        <v>1</v>
      </c>
      <c r="K307" s="37">
        <f>K304+K301+K298+K295+K292+K289+K286+K283+K280</f>
        <v>1936148</v>
      </c>
      <c r="L307" s="7">
        <f>L286+L283+L280</f>
        <v>125000</v>
      </c>
      <c r="M307" s="7">
        <f t="shared" ref="M307" si="220">M286+M283+M280</f>
        <v>120000</v>
      </c>
      <c r="N307" s="7">
        <f>N286+N280</f>
        <v>105000</v>
      </c>
      <c r="O307" s="7">
        <f>O280</f>
        <v>15000</v>
      </c>
      <c r="P307" s="7">
        <f>P280</f>
        <v>15000</v>
      </c>
      <c r="Q307" s="3" t="s">
        <v>11</v>
      </c>
      <c r="R307" s="7"/>
      <c r="S307" s="7"/>
      <c r="T307" s="7"/>
      <c r="U307" s="7"/>
      <c r="Z307" s="104"/>
      <c r="AA307" s="58"/>
    </row>
    <row r="308" spans="1:46" s="3" customFormat="1" x14ac:dyDescent="0.25">
      <c r="A308" s="121"/>
      <c r="B308" s="121"/>
      <c r="C308" s="306"/>
      <c r="D308" s="54"/>
      <c r="E308" s="54"/>
      <c r="F308" s="54"/>
      <c r="G308" s="33"/>
      <c r="H308" s="152">
        <v>1772219</v>
      </c>
      <c r="I308" s="33">
        <v>595100</v>
      </c>
      <c r="J308" s="38" t="s">
        <v>2</v>
      </c>
      <c r="K308" s="39">
        <f>K305+K302+K299+K296+K293+K290+K287+K284+K281</f>
        <v>297863.78999999998</v>
      </c>
      <c r="L308" s="16">
        <f>L287+L284+L281</f>
        <v>15200</v>
      </c>
      <c r="M308" s="16">
        <f t="shared" ref="M308" si="221">M287+M284+M281</f>
        <v>10200</v>
      </c>
      <c r="N308" s="16">
        <f>N287+N281</f>
        <v>5400</v>
      </c>
      <c r="O308" s="16">
        <f>O281</f>
        <v>1200</v>
      </c>
      <c r="P308" s="16">
        <f>P281</f>
        <v>600</v>
      </c>
      <c r="Q308" s="20" t="s">
        <v>11</v>
      </c>
      <c r="R308" s="16"/>
      <c r="S308" s="16"/>
      <c r="T308" s="16"/>
      <c r="U308" s="16"/>
      <c r="V308" s="20"/>
      <c r="W308" s="20"/>
      <c r="X308" s="20"/>
      <c r="Y308" s="20"/>
      <c r="Z308" s="493"/>
      <c r="AA308" s="63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</row>
    <row r="309" spans="1:46" s="8" customFormat="1" ht="13.8" thickBot="1" x14ac:dyDescent="0.3">
      <c r="A309" s="122"/>
      <c r="B309" s="122"/>
      <c r="C309" s="307"/>
      <c r="D309" s="85"/>
      <c r="E309" s="85"/>
      <c r="F309" s="85"/>
      <c r="G309" s="85"/>
      <c r="H309" s="85"/>
      <c r="I309" s="85"/>
      <c r="J309" s="44" t="s">
        <v>5</v>
      </c>
      <c r="K309" s="45">
        <f>K308+K307</f>
        <v>2234011.79</v>
      </c>
      <c r="L309" s="46">
        <f>L308+L307</f>
        <v>140200</v>
      </c>
      <c r="M309" s="46">
        <f t="shared" ref="M309:P309" si="222">M308+M307</f>
        <v>130200</v>
      </c>
      <c r="N309" s="46">
        <f t="shared" si="222"/>
        <v>110400</v>
      </c>
      <c r="O309" s="46">
        <f t="shared" si="222"/>
        <v>16200</v>
      </c>
      <c r="P309" s="46">
        <f t="shared" si="222"/>
        <v>15600</v>
      </c>
      <c r="Q309" s="47" t="s">
        <v>11</v>
      </c>
      <c r="R309" s="46"/>
      <c r="S309" s="46"/>
      <c r="T309" s="46"/>
      <c r="U309" s="406"/>
      <c r="V309" s="47"/>
      <c r="W309" s="47"/>
      <c r="X309" s="47"/>
      <c r="Y309" s="47"/>
      <c r="Z309" s="494"/>
      <c r="AA309" s="65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</row>
    <row r="310" spans="1:46" s="2" customFormat="1" x14ac:dyDescent="0.25">
      <c r="A310" s="26"/>
      <c r="B310" s="26" t="s">
        <v>96</v>
      </c>
      <c r="C310" s="306"/>
      <c r="D310" s="14" t="s">
        <v>0</v>
      </c>
      <c r="E310" s="24">
        <v>38791</v>
      </c>
      <c r="F310" s="24" t="s">
        <v>266</v>
      </c>
      <c r="G310" s="15" t="s">
        <v>225</v>
      </c>
      <c r="H310" s="15">
        <v>60313054</v>
      </c>
      <c r="I310" s="15">
        <v>583001</v>
      </c>
      <c r="J310" s="2" t="s">
        <v>1</v>
      </c>
      <c r="K310" s="27">
        <v>11352</v>
      </c>
      <c r="L310" s="2" t="s">
        <v>43</v>
      </c>
      <c r="M310" s="4"/>
      <c r="N310" s="4"/>
      <c r="O310" s="4"/>
      <c r="P310" s="283"/>
      <c r="Q310" s="283"/>
      <c r="R310" s="283"/>
      <c r="S310" s="283"/>
      <c r="T310" s="283"/>
      <c r="U310" s="283"/>
      <c r="V310" s="283"/>
      <c r="W310" s="283"/>
      <c r="Z310" s="490"/>
      <c r="AA310" s="60"/>
    </row>
    <row r="311" spans="1:46" s="2" customFormat="1" x14ac:dyDescent="0.25">
      <c r="A311" s="26"/>
      <c r="B311" s="26"/>
      <c r="C311" s="306"/>
      <c r="D311" s="14"/>
      <c r="E311" s="24" t="s">
        <v>12</v>
      </c>
      <c r="F311" s="24"/>
      <c r="G311" s="15" t="s">
        <v>598</v>
      </c>
      <c r="H311" s="15"/>
      <c r="I311" s="15"/>
      <c r="J311" s="17" t="s">
        <v>2</v>
      </c>
      <c r="K311" s="28">
        <v>1417.46</v>
      </c>
      <c r="L311" s="17" t="s">
        <v>43</v>
      </c>
      <c r="M311" s="11"/>
      <c r="N311" s="11"/>
      <c r="O311" s="11"/>
      <c r="P311" s="142"/>
      <c r="Q311" s="142"/>
      <c r="R311" s="142"/>
      <c r="S311" s="142"/>
      <c r="T311" s="142"/>
      <c r="U311" s="142"/>
      <c r="V311" s="142"/>
      <c r="W311" s="142"/>
      <c r="X311" s="17"/>
      <c r="Y311" s="17"/>
      <c r="Z311" s="491"/>
      <c r="AA311" s="532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</row>
    <row r="312" spans="1:46" s="6" customFormat="1" ht="13.8" thickBot="1" x14ac:dyDescent="0.3">
      <c r="A312" s="120"/>
      <c r="B312" s="120"/>
      <c r="C312" s="307"/>
      <c r="D312" s="87"/>
      <c r="E312" s="88" t="s">
        <v>14</v>
      </c>
      <c r="F312" s="88" t="s">
        <v>410</v>
      </c>
      <c r="G312" s="126" t="s">
        <v>704</v>
      </c>
      <c r="H312" s="126"/>
      <c r="I312" s="126"/>
      <c r="J312" s="41" t="s">
        <v>6</v>
      </c>
      <c r="K312" s="42">
        <f>K311+K310</f>
        <v>12769.46</v>
      </c>
      <c r="L312" s="41" t="s">
        <v>43</v>
      </c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1"/>
      <c r="Y312" s="41"/>
      <c r="Z312" s="492"/>
      <c r="AA312" s="533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</row>
    <row r="313" spans="1:46" s="2" customFormat="1" x14ac:dyDescent="0.25">
      <c r="A313" s="26"/>
      <c r="B313" s="26" t="s">
        <v>96</v>
      </c>
      <c r="C313" s="306"/>
      <c r="D313" s="14" t="s">
        <v>0</v>
      </c>
      <c r="E313" s="24">
        <v>38791</v>
      </c>
      <c r="F313" s="24" t="s">
        <v>266</v>
      </c>
      <c r="G313" s="15" t="s">
        <v>289</v>
      </c>
      <c r="H313" s="15"/>
      <c r="I313" s="15"/>
      <c r="J313" s="2" t="s">
        <v>1</v>
      </c>
      <c r="K313" s="27">
        <v>117500</v>
      </c>
      <c r="L313" s="4">
        <v>10000</v>
      </c>
      <c r="M313" s="4">
        <v>10000</v>
      </c>
      <c r="N313" s="4">
        <v>10000</v>
      </c>
      <c r="O313" s="4">
        <v>5000</v>
      </c>
      <c r="P313" s="283">
        <v>5000</v>
      </c>
      <c r="Q313" s="367" t="s">
        <v>11</v>
      </c>
      <c r="R313" s="283"/>
      <c r="S313" s="283"/>
      <c r="T313" s="283"/>
      <c r="U313" s="283"/>
      <c r="V313" s="283"/>
      <c r="W313" s="283"/>
      <c r="Z313" s="490"/>
      <c r="AA313" s="60"/>
    </row>
    <row r="314" spans="1:46" s="2" customFormat="1" x14ac:dyDescent="0.25">
      <c r="A314" s="26"/>
      <c r="B314" s="26"/>
      <c r="C314" s="306"/>
      <c r="D314" s="14"/>
      <c r="E314" s="24" t="s">
        <v>12</v>
      </c>
      <c r="F314" s="24"/>
      <c r="G314" s="15" t="s">
        <v>287</v>
      </c>
      <c r="H314" s="15"/>
      <c r="I314" s="15"/>
      <c r="J314" s="17" t="s">
        <v>2</v>
      </c>
      <c r="K314" s="28">
        <v>21868.75</v>
      </c>
      <c r="L314" s="11">
        <v>1600</v>
      </c>
      <c r="M314" s="11">
        <v>1200</v>
      </c>
      <c r="N314" s="11">
        <f>400+400</f>
        <v>800</v>
      </c>
      <c r="O314" s="11">
        <f>200+200</f>
        <v>400</v>
      </c>
      <c r="P314" s="142">
        <f>100+100</f>
        <v>200</v>
      </c>
      <c r="Q314" s="368" t="s">
        <v>11</v>
      </c>
      <c r="R314" s="142"/>
      <c r="S314" s="142"/>
      <c r="T314" s="142"/>
      <c r="U314" s="142"/>
      <c r="V314" s="142"/>
      <c r="W314" s="142"/>
      <c r="X314" s="17"/>
      <c r="Y314" s="17"/>
      <c r="Z314" s="491"/>
      <c r="AA314" s="532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</row>
    <row r="315" spans="1:46" s="6" customFormat="1" ht="13.8" thickBot="1" x14ac:dyDescent="0.3">
      <c r="A315" s="120"/>
      <c r="B315" s="120"/>
      <c r="C315" s="307"/>
      <c r="D315" s="87"/>
      <c r="E315" s="88" t="s">
        <v>14</v>
      </c>
      <c r="F315" s="88" t="s">
        <v>410</v>
      </c>
      <c r="G315" s="126" t="s">
        <v>705</v>
      </c>
      <c r="H315" s="126"/>
      <c r="I315" s="126"/>
      <c r="J315" s="41" t="s">
        <v>6</v>
      </c>
      <c r="K315" s="42">
        <f>K314+K313</f>
        <v>139368.75</v>
      </c>
      <c r="L315" s="43">
        <f>L314+L313</f>
        <v>11600</v>
      </c>
      <c r="M315" s="43">
        <f t="shared" ref="M315:P315" si="223">M314+M313</f>
        <v>11200</v>
      </c>
      <c r="N315" s="43">
        <f t="shared" si="223"/>
        <v>10800</v>
      </c>
      <c r="O315" s="43">
        <f t="shared" si="223"/>
        <v>5400</v>
      </c>
      <c r="P315" s="43">
        <f t="shared" si="223"/>
        <v>5200</v>
      </c>
      <c r="Q315" s="41" t="s">
        <v>11</v>
      </c>
      <c r="R315" s="43"/>
      <c r="S315" s="43"/>
      <c r="T315" s="43"/>
      <c r="U315" s="43"/>
      <c r="V315" s="43"/>
      <c r="W315" s="43"/>
      <c r="X315" s="41"/>
      <c r="Y315" s="41"/>
      <c r="Z315" s="492"/>
      <c r="AA315" s="533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</row>
    <row r="316" spans="1:46" s="2" customFormat="1" x14ac:dyDescent="0.25">
      <c r="A316" s="26"/>
      <c r="B316" s="26" t="s">
        <v>96</v>
      </c>
      <c r="C316" s="306"/>
      <c r="D316" s="14" t="s">
        <v>0</v>
      </c>
      <c r="E316" s="24">
        <v>38791</v>
      </c>
      <c r="F316" s="24" t="s">
        <v>258</v>
      </c>
      <c r="G316" s="15" t="s">
        <v>361</v>
      </c>
      <c r="H316" s="15"/>
      <c r="I316" s="15"/>
      <c r="J316" s="2" t="s">
        <v>1</v>
      </c>
      <c r="K316" s="27">
        <v>250000</v>
      </c>
      <c r="L316" s="2" t="s">
        <v>43</v>
      </c>
      <c r="M316" s="4"/>
      <c r="N316" s="4"/>
      <c r="O316" s="4"/>
      <c r="P316" s="283"/>
      <c r="Q316" s="283"/>
      <c r="R316" s="283"/>
      <c r="S316" s="283"/>
      <c r="T316" s="283"/>
      <c r="U316" s="283"/>
      <c r="V316" s="283"/>
      <c r="W316" s="283"/>
      <c r="Z316" s="490"/>
      <c r="AA316" s="60"/>
    </row>
    <row r="317" spans="1:46" s="2" customFormat="1" x14ac:dyDescent="0.25">
      <c r="A317" s="26"/>
      <c r="B317" s="26"/>
      <c r="C317" s="306"/>
      <c r="D317" s="14"/>
      <c r="E317" s="24" t="s">
        <v>12</v>
      </c>
      <c r="F317" s="24"/>
      <c r="G317" s="15" t="s">
        <v>201</v>
      </c>
      <c r="H317" s="15"/>
      <c r="I317" s="15"/>
      <c r="J317" s="17" t="s">
        <v>2</v>
      </c>
      <c r="K317" s="28">
        <v>31875</v>
      </c>
      <c r="L317" s="17" t="s">
        <v>43</v>
      </c>
      <c r="M317" s="11"/>
      <c r="N317" s="11"/>
      <c r="O317" s="11"/>
      <c r="P317" s="142"/>
      <c r="Q317" s="142"/>
      <c r="R317" s="142"/>
      <c r="S317" s="142"/>
      <c r="T317" s="142"/>
      <c r="U317" s="142"/>
      <c r="V317" s="142"/>
      <c r="W317" s="142"/>
      <c r="X317" s="17"/>
      <c r="Y317" s="17"/>
      <c r="Z317" s="491"/>
      <c r="AA317" s="532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</row>
    <row r="318" spans="1:46" s="6" customFormat="1" ht="13.8" thickBot="1" x14ac:dyDescent="0.3">
      <c r="A318" s="120"/>
      <c r="B318" s="120"/>
      <c r="C318" s="307"/>
      <c r="D318" s="87"/>
      <c r="E318" s="88" t="s">
        <v>14</v>
      </c>
      <c r="F318" s="88" t="s">
        <v>410</v>
      </c>
      <c r="G318" s="126"/>
      <c r="H318" s="126"/>
      <c r="I318" s="126"/>
      <c r="J318" s="41" t="s">
        <v>6</v>
      </c>
      <c r="K318" s="42">
        <f>K317+K316</f>
        <v>281875</v>
      </c>
      <c r="L318" s="41" t="s">
        <v>43</v>
      </c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1"/>
      <c r="Y318" s="41"/>
      <c r="Z318" s="492"/>
      <c r="AA318" s="533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</row>
    <row r="319" spans="1:46" s="2" customFormat="1" x14ac:dyDescent="0.25">
      <c r="A319" s="26"/>
      <c r="B319" s="26"/>
      <c r="C319" s="306"/>
      <c r="D319" s="14"/>
      <c r="E319" s="24"/>
      <c r="F319" s="24"/>
      <c r="G319" s="13" t="s">
        <v>33</v>
      </c>
      <c r="H319" s="13">
        <v>60772219</v>
      </c>
      <c r="I319" s="13">
        <v>591100</v>
      </c>
      <c r="J319" s="14" t="s">
        <v>1</v>
      </c>
      <c r="K319" s="29">
        <f>K316+K313+K310</f>
        <v>378852</v>
      </c>
      <c r="L319" s="7">
        <f>L313</f>
        <v>10000</v>
      </c>
      <c r="M319" s="7">
        <f t="shared" ref="M319:P319" si="224">M313</f>
        <v>10000</v>
      </c>
      <c r="N319" s="7">
        <f t="shared" si="224"/>
        <v>10000</v>
      </c>
      <c r="O319" s="7">
        <f t="shared" si="224"/>
        <v>5000</v>
      </c>
      <c r="P319" s="7">
        <f t="shared" si="224"/>
        <v>5000</v>
      </c>
      <c r="Q319" s="3" t="s">
        <v>11</v>
      </c>
      <c r="R319" s="7"/>
      <c r="S319" s="7"/>
      <c r="T319" s="7"/>
      <c r="U319" s="7"/>
      <c r="V319" s="7"/>
      <c r="W319" s="7"/>
      <c r="X319" s="40"/>
      <c r="Z319" s="490"/>
      <c r="AA319" s="60"/>
    </row>
    <row r="320" spans="1:46" s="2" customFormat="1" x14ac:dyDescent="0.25">
      <c r="A320" s="26"/>
      <c r="B320" s="26"/>
      <c r="C320" s="306"/>
      <c r="D320" s="14"/>
      <c r="E320" s="24"/>
      <c r="F320" s="24"/>
      <c r="G320" s="15"/>
      <c r="H320" s="13">
        <v>60772219</v>
      </c>
      <c r="I320" s="153">
        <v>595100</v>
      </c>
      <c r="J320" s="18" t="s">
        <v>2</v>
      </c>
      <c r="K320" s="30">
        <f>K317+K314+K311</f>
        <v>55161.21</v>
      </c>
      <c r="L320" s="16">
        <f>L314</f>
        <v>1600</v>
      </c>
      <c r="M320" s="16">
        <f t="shared" ref="M320:P320" si="225">M314</f>
        <v>1200</v>
      </c>
      <c r="N320" s="16">
        <f t="shared" si="225"/>
        <v>800</v>
      </c>
      <c r="O320" s="16">
        <f t="shared" si="225"/>
        <v>400</v>
      </c>
      <c r="P320" s="16">
        <f t="shared" si="225"/>
        <v>200</v>
      </c>
      <c r="Q320" s="20" t="s">
        <v>11</v>
      </c>
      <c r="R320" s="16"/>
      <c r="S320" s="16"/>
      <c r="T320" s="16"/>
      <c r="U320" s="16"/>
      <c r="V320" s="16"/>
      <c r="W320" s="16"/>
      <c r="X320" s="56"/>
      <c r="Y320" s="17"/>
      <c r="Z320" s="491"/>
      <c r="AA320" s="532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</row>
    <row r="321" spans="1:46" s="8" customFormat="1" ht="13.8" thickBot="1" x14ac:dyDescent="0.3">
      <c r="A321" s="122"/>
      <c r="B321" s="122"/>
      <c r="C321" s="307"/>
      <c r="D321" s="87"/>
      <c r="E321" s="87"/>
      <c r="F321" s="87"/>
      <c r="G321" s="87"/>
      <c r="H321" s="87"/>
      <c r="I321" s="87"/>
      <c r="J321" s="50" t="s">
        <v>5</v>
      </c>
      <c r="K321" s="51">
        <f>K320+K319</f>
        <v>434013.21</v>
      </c>
      <c r="L321" s="46">
        <f>L320+L319</f>
        <v>11600</v>
      </c>
      <c r="M321" s="46">
        <f t="shared" ref="M321:P321" si="226">M320+M319</f>
        <v>11200</v>
      </c>
      <c r="N321" s="46">
        <f t="shared" si="226"/>
        <v>10800</v>
      </c>
      <c r="O321" s="46">
        <f t="shared" si="226"/>
        <v>5400</v>
      </c>
      <c r="P321" s="46">
        <f t="shared" si="226"/>
        <v>5200</v>
      </c>
      <c r="Q321" s="47" t="s">
        <v>11</v>
      </c>
      <c r="R321" s="46"/>
      <c r="S321" s="46"/>
      <c r="T321" s="46"/>
      <c r="U321" s="46"/>
      <c r="V321" s="46"/>
      <c r="W321" s="46"/>
      <c r="X321" s="47"/>
      <c r="Y321" s="47"/>
      <c r="Z321" s="494"/>
      <c r="AA321" s="65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</row>
    <row r="322" spans="1:46" s="3" customFormat="1" x14ac:dyDescent="0.25">
      <c r="A322" s="121"/>
      <c r="B322" s="121"/>
      <c r="C322" s="306"/>
      <c r="D322" s="102"/>
      <c r="E322" s="102"/>
      <c r="F322" s="102"/>
      <c r="G322" s="103" t="s">
        <v>519</v>
      </c>
      <c r="H322" s="103"/>
      <c r="I322" s="103"/>
      <c r="J322" s="104" t="s">
        <v>1</v>
      </c>
      <c r="K322" s="105">
        <f>K319+K307</f>
        <v>2315000</v>
      </c>
      <c r="L322" s="7">
        <f>L319+L307</f>
        <v>135000</v>
      </c>
      <c r="M322" s="7">
        <f t="shared" ref="M322:P322" si="227">M319+M307</f>
        <v>130000</v>
      </c>
      <c r="N322" s="7">
        <f t="shared" si="227"/>
        <v>115000</v>
      </c>
      <c r="O322" s="7">
        <f t="shared" si="227"/>
        <v>20000</v>
      </c>
      <c r="P322" s="7">
        <f t="shared" si="227"/>
        <v>20000</v>
      </c>
      <c r="Q322" s="3" t="s">
        <v>11</v>
      </c>
      <c r="R322" s="7"/>
      <c r="S322" s="7"/>
      <c r="T322" s="7"/>
      <c r="U322" s="7"/>
      <c r="V322" s="7"/>
      <c r="W322" s="7"/>
      <c r="X322" s="7"/>
      <c r="Y322" s="7"/>
      <c r="Z322" s="104"/>
      <c r="AA322" s="58"/>
      <c r="AD322" s="7"/>
      <c r="AI322" s="7"/>
      <c r="AN322" s="7"/>
    </row>
    <row r="323" spans="1:46" s="3" customFormat="1" ht="13.8" thickBot="1" x14ac:dyDescent="0.3">
      <c r="A323" s="121"/>
      <c r="B323" s="121"/>
      <c r="C323" s="306"/>
      <c r="D323" s="104"/>
      <c r="E323" s="104"/>
      <c r="F323" s="104"/>
      <c r="G323" s="103"/>
      <c r="H323" s="103"/>
      <c r="I323" s="103"/>
      <c r="J323" s="106" t="s">
        <v>2</v>
      </c>
      <c r="K323" s="107">
        <f>K320+K308</f>
        <v>353025</v>
      </c>
      <c r="L323" s="22">
        <f>L320+L308</f>
        <v>16800</v>
      </c>
      <c r="M323" s="22">
        <f t="shared" ref="M323:P323" si="228">M320+M308</f>
        <v>11400</v>
      </c>
      <c r="N323" s="22">
        <f t="shared" si="228"/>
        <v>6200</v>
      </c>
      <c r="O323" s="22">
        <f t="shared" si="228"/>
        <v>1600</v>
      </c>
      <c r="P323" s="22">
        <f t="shared" si="228"/>
        <v>800</v>
      </c>
      <c r="Q323" s="23" t="s">
        <v>11</v>
      </c>
      <c r="R323" s="22"/>
      <c r="S323" s="22"/>
      <c r="T323" s="22"/>
      <c r="U323" s="22"/>
      <c r="V323" s="22"/>
      <c r="W323" s="22"/>
      <c r="X323" s="22"/>
      <c r="Y323" s="22"/>
      <c r="Z323" s="106"/>
      <c r="AA323" s="92"/>
      <c r="AB323" s="23"/>
      <c r="AC323" s="23"/>
      <c r="AD323" s="22"/>
      <c r="AE323" s="23"/>
      <c r="AF323" s="23"/>
      <c r="AG323" s="23"/>
      <c r="AH323" s="23"/>
      <c r="AI323" s="22"/>
      <c r="AJ323" s="23"/>
      <c r="AK323" s="23"/>
      <c r="AL323" s="23"/>
      <c r="AM323" s="23"/>
      <c r="AN323" s="22"/>
      <c r="AO323" s="23"/>
      <c r="AP323" s="23"/>
      <c r="AQ323" s="23"/>
      <c r="AR323" s="23"/>
      <c r="AS323" s="23"/>
      <c r="AT323" s="23"/>
    </row>
    <row r="324" spans="1:46" s="6" customFormat="1" x14ac:dyDescent="0.25">
      <c r="A324" s="121"/>
      <c r="B324" s="121"/>
      <c r="C324" s="306"/>
      <c r="D324" s="108"/>
      <c r="E324" s="108"/>
      <c r="F324" s="108"/>
      <c r="G324" s="103"/>
      <c r="H324" s="103"/>
      <c r="I324" s="103"/>
      <c r="J324" s="109" t="s">
        <v>5</v>
      </c>
      <c r="K324" s="110">
        <f>K323+K322</f>
        <v>2668025</v>
      </c>
      <c r="L324" s="67">
        <f>L323+L322</f>
        <v>151800</v>
      </c>
      <c r="M324" s="67">
        <f t="shared" ref="M324:P324" si="229">SUM(M322:M323)</f>
        <v>141400</v>
      </c>
      <c r="N324" s="67">
        <f t="shared" si="229"/>
        <v>121200</v>
      </c>
      <c r="O324" s="67">
        <f t="shared" si="229"/>
        <v>21600</v>
      </c>
      <c r="P324" s="67">
        <f t="shared" si="229"/>
        <v>20800</v>
      </c>
      <c r="Q324" s="134" t="s">
        <v>11</v>
      </c>
      <c r="R324" s="67"/>
      <c r="S324" s="67"/>
      <c r="T324" s="67"/>
      <c r="U324" s="67"/>
      <c r="V324" s="67"/>
      <c r="W324" s="67"/>
      <c r="X324" s="67"/>
      <c r="Y324" s="67"/>
      <c r="Z324" s="495"/>
      <c r="AA324" s="534"/>
      <c r="AB324" s="69"/>
      <c r="AC324" s="69"/>
      <c r="AD324" s="67"/>
      <c r="AE324" s="69"/>
      <c r="AF324" s="69"/>
      <c r="AG324" s="69"/>
      <c r="AH324" s="69"/>
      <c r="AI324" s="67"/>
      <c r="AJ324" s="69"/>
      <c r="AK324" s="69"/>
      <c r="AL324" s="69"/>
      <c r="AM324" s="69"/>
      <c r="AN324" s="67"/>
      <c r="AO324" s="69"/>
      <c r="AP324" s="69"/>
      <c r="AQ324" s="69"/>
      <c r="AR324" s="69"/>
      <c r="AS324" s="69"/>
      <c r="AT324" s="69"/>
    </row>
    <row r="325" spans="1:46" s="2" customFormat="1" x14ac:dyDescent="0.25">
      <c r="A325" s="119"/>
      <c r="B325" s="119"/>
      <c r="C325" s="308"/>
      <c r="D325" s="49"/>
      <c r="E325" s="49"/>
      <c r="F325" s="49"/>
      <c r="G325" s="128" t="s">
        <v>89</v>
      </c>
      <c r="H325" s="128"/>
      <c r="I325" s="128"/>
      <c r="J325" s="48"/>
      <c r="K325" s="96"/>
      <c r="L325" s="97"/>
      <c r="M325" s="97"/>
      <c r="N325" s="97"/>
      <c r="O325" s="97"/>
      <c r="P325" s="98"/>
      <c r="Q325" s="98"/>
      <c r="R325" s="98"/>
      <c r="S325" s="98"/>
      <c r="T325" s="9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</row>
    <row r="326" spans="1:46" s="2" customFormat="1" x14ac:dyDescent="0.25">
      <c r="A326" s="26"/>
      <c r="B326" s="26" t="s">
        <v>96</v>
      </c>
      <c r="C326" s="306"/>
      <c r="D326" s="33" t="s">
        <v>3</v>
      </c>
      <c r="E326" s="34">
        <v>39005</v>
      </c>
      <c r="F326" s="34" t="s">
        <v>258</v>
      </c>
      <c r="G326" s="35" t="s">
        <v>202</v>
      </c>
      <c r="H326" s="35">
        <v>31422419</v>
      </c>
      <c r="I326" s="35">
        <v>585109</v>
      </c>
      <c r="J326" s="2" t="s">
        <v>1</v>
      </c>
      <c r="K326" s="27">
        <v>287000</v>
      </c>
      <c r="L326" s="4">
        <v>55000</v>
      </c>
      <c r="M326" s="2" t="s">
        <v>11</v>
      </c>
      <c r="N326" s="4"/>
      <c r="O326" s="4"/>
      <c r="P326" s="283"/>
      <c r="Q326" s="283"/>
      <c r="R326" s="283"/>
      <c r="S326" s="283"/>
      <c r="T326" s="283"/>
      <c r="Z326" s="490"/>
      <c r="AA326" s="60"/>
    </row>
    <row r="327" spans="1:46" s="2" customFormat="1" x14ac:dyDescent="0.25">
      <c r="A327" s="26"/>
      <c r="B327" s="26"/>
      <c r="C327" s="306"/>
      <c r="D327" s="33"/>
      <c r="E327" s="34" t="s">
        <v>12</v>
      </c>
      <c r="F327" s="34"/>
      <c r="G327" s="35" t="s">
        <v>236</v>
      </c>
      <c r="H327" s="35"/>
      <c r="I327" s="35"/>
      <c r="J327" s="17" t="s">
        <v>2</v>
      </c>
      <c r="K327" s="28">
        <v>37890</v>
      </c>
      <c r="L327" s="11">
        <v>1237.5</v>
      </c>
      <c r="M327" s="17" t="s">
        <v>11</v>
      </c>
      <c r="N327" s="11"/>
      <c r="O327" s="11"/>
      <c r="P327" s="142"/>
      <c r="Q327" s="142"/>
      <c r="R327" s="142"/>
      <c r="S327" s="142"/>
      <c r="T327" s="142"/>
      <c r="U327" s="17"/>
      <c r="V327" s="17"/>
      <c r="W327" s="17"/>
      <c r="X327" s="17"/>
      <c r="Y327" s="17"/>
      <c r="Z327" s="491"/>
      <c r="AA327" s="532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</row>
    <row r="328" spans="1:46" s="6" customFormat="1" ht="13.8" thickBot="1" x14ac:dyDescent="0.3">
      <c r="A328" s="120"/>
      <c r="B328" s="120"/>
      <c r="C328" s="307"/>
      <c r="D328" s="85"/>
      <c r="E328" s="86" t="s">
        <v>160</v>
      </c>
      <c r="F328" s="86" t="s">
        <v>410</v>
      </c>
      <c r="G328" s="125" t="s">
        <v>247</v>
      </c>
      <c r="H328" s="125"/>
      <c r="I328" s="125"/>
      <c r="J328" s="41" t="s">
        <v>6</v>
      </c>
      <c r="K328" s="42">
        <f>K327+K326</f>
        <v>324890</v>
      </c>
      <c r="L328" s="43">
        <f>L327+L326</f>
        <v>56237.5</v>
      </c>
      <c r="M328" s="41" t="s">
        <v>11</v>
      </c>
      <c r="N328" s="43"/>
      <c r="O328" s="43"/>
      <c r="P328" s="43"/>
      <c r="Q328" s="43"/>
      <c r="R328" s="43"/>
      <c r="S328" s="43"/>
      <c r="T328" s="43"/>
      <c r="U328" s="41"/>
      <c r="V328" s="41"/>
      <c r="W328" s="41"/>
      <c r="X328" s="41"/>
      <c r="Y328" s="41"/>
      <c r="Z328" s="492"/>
      <c r="AA328" s="533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</row>
    <row r="329" spans="1:46" s="2" customFormat="1" x14ac:dyDescent="0.25">
      <c r="A329" s="26"/>
      <c r="B329" s="26" t="s">
        <v>96</v>
      </c>
      <c r="C329" s="306"/>
      <c r="D329" s="33" t="s">
        <v>3</v>
      </c>
      <c r="E329" s="34">
        <v>39005</v>
      </c>
      <c r="F329" s="34" t="s">
        <v>258</v>
      </c>
      <c r="G329" s="35" t="s">
        <v>368</v>
      </c>
      <c r="H329" s="35"/>
      <c r="I329" s="35"/>
      <c r="J329" s="2" t="s">
        <v>1</v>
      </c>
      <c r="K329" s="27">
        <v>54000</v>
      </c>
      <c r="L329" s="4">
        <v>10000</v>
      </c>
      <c r="M329" s="2" t="s">
        <v>11</v>
      </c>
      <c r="N329" s="4"/>
      <c r="O329" s="4"/>
      <c r="P329" s="283"/>
      <c r="Q329" s="283"/>
      <c r="R329" s="283"/>
      <c r="S329" s="283"/>
      <c r="T329" s="283"/>
      <c r="Z329" s="490"/>
      <c r="AA329" s="60"/>
    </row>
    <row r="330" spans="1:46" s="2" customFormat="1" x14ac:dyDescent="0.25">
      <c r="A330" s="26"/>
      <c r="B330" s="26"/>
      <c r="C330" s="306"/>
      <c r="D330" s="33"/>
      <c r="E330" s="34" t="s">
        <v>12</v>
      </c>
      <c r="F330" s="34"/>
      <c r="G330" s="35" t="s">
        <v>200</v>
      </c>
      <c r="H330" s="35"/>
      <c r="I330" s="35"/>
      <c r="J330" s="17" t="s">
        <v>2</v>
      </c>
      <c r="K330" s="28">
        <v>6930</v>
      </c>
      <c r="L330" s="11">
        <v>225</v>
      </c>
      <c r="M330" s="17" t="s">
        <v>11</v>
      </c>
      <c r="N330" s="11"/>
      <c r="O330" s="11"/>
      <c r="P330" s="142"/>
      <c r="Q330" s="142"/>
      <c r="R330" s="142"/>
      <c r="S330" s="142"/>
      <c r="T330" s="142"/>
      <c r="U330" s="17"/>
      <c r="V330" s="17"/>
      <c r="W330" s="17"/>
      <c r="X330" s="17"/>
      <c r="Y330" s="17"/>
      <c r="Z330" s="491"/>
      <c r="AA330" s="532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</row>
    <row r="331" spans="1:46" s="6" customFormat="1" ht="13.8" thickBot="1" x14ac:dyDescent="0.3">
      <c r="A331" s="120"/>
      <c r="B331" s="120"/>
      <c r="C331" s="307"/>
      <c r="D331" s="85"/>
      <c r="E331" s="86" t="s">
        <v>17</v>
      </c>
      <c r="F331" s="86" t="s">
        <v>410</v>
      </c>
      <c r="G331" s="125"/>
      <c r="H331" s="125"/>
      <c r="I331" s="125"/>
      <c r="J331" s="41" t="s">
        <v>6</v>
      </c>
      <c r="K331" s="42">
        <f t="shared" ref="K331:L331" si="230">K330+K329</f>
        <v>60930</v>
      </c>
      <c r="L331" s="43">
        <f t="shared" si="230"/>
        <v>10225</v>
      </c>
      <c r="M331" s="41" t="s">
        <v>11</v>
      </c>
      <c r="N331" s="43"/>
      <c r="O331" s="43"/>
      <c r="P331" s="43"/>
      <c r="Q331" s="43"/>
      <c r="R331" s="43"/>
      <c r="S331" s="43"/>
      <c r="T331" s="43"/>
      <c r="U331" s="41"/>
      <c r="V331" s="41"/>
      <c r="W331" s="41"/>
      <c r="X331" s="41"/>
      <c r="Y331" s="41"/>
      <c r="Z331" s="492"/>
      <c r="AA331" s="533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</row>
    <row r="332" spans="1:46" s="2" customFormat="1" x14ac:dyDescent="0.25">
      <c r="A332" s="26"/>
      <c r="B332" s="26" t="s">
        <v>96</v>
      </c>
      <c r="C332" s="306"/>
      <c r="D332" s="33" t="s">
        <v>3</v>
      </c>
      <c r="E332" s="34">
        <v>39005</v>
      </c>
      <c r="F332" s="34" t="s">
        <v>258</v>
      </c>
      <c r="G332" s="35" t="s">
        <v>229</v>
      </c>
      <c r="H332" s="35"/>
      <c r="I332" s="35"/>
      <c r="J332" s="2" t="s">
        <v>1</v>
      </c>
      <c r="K332" s="27">
        <v>375000</v>
      </c>
      <c r="L332" s="4">
        <v>55000</v>
      </c>
      <c r="M332" s="4">
        <v>50000</v>
      </c>
      <c r="N332" s="4">
        <v>50000</v>
      </c>
      <c r="O332" s="2" t="s">
        <v>11</v>
      </c>
      <c r="P332" s="283"/>
      <c r="Q332" s="283"/>
      <c r="R332" s="283"/>
      <c r="S332" s="283"/>
      <c r="T332" s="283"/>
      <c r="Z332" s="490"/>
      <c r="AA332" s="60"/>
    </row>
    <row r="333" spans="1:46" s="2" customFormat="1" x14ac:dyDescent="0.25">
      <c r="A333" s="26"/>
      <c r="B333" s="26"/>
      <c r="C333" s="306"/>
      <c r="D333" s="33"/>
      <c r="E333" s="34" t="s">
        <v>12</v>
      </c>
      <c r="F333" s="34"/>
      <c r="G333" s="35" t="s">
        <v>230</v>
      </c>
      <c r="H333" s="35"/>
      <c r="I333" s="35"/>
      <c r="J333" s="17" t="s">
        <v>2</v>
      </c>
      <c r="K333" s="28">
        <v>64625</v>
      </c>
      <c r="L333" s="11">
        <v>5487.5</v>
      </c>
      <c r="M333" s="11">
        <v>3125</v>
      </c>
      <c r="N333" s="11">
        <v>1000</v>
      </c>
      <c r="O333" s="17" t="s">
        <v>11</v>
      </c>
      <c r="P333" s="142"/>
      <c r="Q333" s="142"/>
      <c r="R333" s="142"/>
      <c r="S333" s="142"/>
      <c r="T333" s="142"/>
      <c r="U333" s="17"/>
      <c r="V333" s="17"/>
      <c r="W333" s="17"/>
      <c r="X333" s="17"/>
      <c r="Y333" s="17"/>
      <c r="Z333" s="491"/>
      <c r="AA333" s="532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</row>
    <row r="334" spans="1:46" s="6" customFormat="1" ht="13.8" thickBot="1" x14ac:dyDescent="0.3">
      <c r="A334" s="120"/>
      <c r="B334" s="120"/>
      <c r="C334" s="307"/>
      <c r="D334" s="85"/>
      <c r="E334" s="86" t="s">
        <v>160</v>
      </c>
      <c r="F334" s="86" t="s">
        <v>410</v>
      </c>
      <c r="G334" s="125"/>
      <c r="H334" s="125"/>
      <c r="I334" s="125"/>
      <c r="J334" s="41" t="s">
        <v>6</v>
      </c>
      <c r="K334" s="42">
        <f>K333+K332</f>
        <v>439625</v>
      </c>
      <c r="L334" s="43">
        <f>L333+L332</f>
        <v>60487.5</v>
      </c>
      <c r="M334" s="43">
        <f>M333+M332</f>
        <v>53125</v>
      </c>
      <c r="N334" s="43">
        <f>N333+N332</f>
        <v>51000</v>
      </c>
      <c r="O334" s="41" t="s">
        <v>11</v>
      </c>
      <c r="P334" s="43"/>
      <c r="Q334" s="43"/>
      <c r="R334" s="43"/>
      <c r="S334" s="43"/>
      <c r="T334" s="43"/>
      <c r="U334" s="41"/>
      <c r="V334" s="41"/>
      <c r="W334" s="41"/>
      <c r="X334" s="41"/>
      <c r="Y334" s="41"/>
      <c r="Z334" s="492"/>
      <c r="AA334" s="533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</row>
    <row r="335" spans="1:46" s="2" customFormat="1" x14ac:dyDescent="0.25">
      <c r="A335" s="26" t="s">
        <v>95</v>
      </c>
      <c r="B335" s="26" t="s">
        <v>96</v>
      </c>
      <c r="C335" s="306"/>
      <c r="D335" s="33" t="s">
        <v>3</v>
      </c>
      <c r="E335" s="34">
        <v>39005</v>
      </c>
      <c r="F335" s="34" t="s">
        <v>269</v>
      </c>
      <c r="G335" s="35" t="s">
        <v>93</v>
      </c>
      <c r="H335" s="35"/>
      <c r="I335" s="35"/>
      <c r="J335" s="2" t="s">
        <v>1</v>
      </c>
      <c r="K335" s="27">
        <v>191438</v>
      </c>
      <c r="L335" s="4">
        <v>20000</v>
      </c>
      <c r="M335" s="4">
        <v>20000</v>
      </c>
      <c r="N335" s="4">
        <v>20000</v>
      </c>
      <c r="O335" s="4">
        <v>20000</v>
      </c>
      <c r="P335" s="283">
        <v>15000</v>
      </c>
      <c r="Q335" s="283">
        <v>15000</v>
      </c>
      <c r="R335" s="367" t="s">
        <v>11</v>
      </c>
      <c r="S335" s="283"/>
      <c r="T335" s="283"/>
      <c r="Z335" s="490"/>
      <c r="AA335" s="60"/>
    </row>
    <row r="336" spans="1:46" s="2" customFormat="1" x14ac:dyDescent="0.25">
      <c r="A336" s="26"/>
      <c r="B336" s="26"/>
      <c r="C336" s="306"/>
      <c r="D336" s="33"/>
      <c r="E336" s="34" t="s">
        <v>12</v>
      </c>
      <c r="F336" s="34"/>
      <c r="G336" s="35" t="s">
        <v>296</v>
      </c>
      <c r="H336" s="35"/>
      <c r="I336" s="35"/>
      <c r="J336" s="17" t="s">
        <v>2</v>
      </c>
      <c r="K336" s="28">
        <v>43039.71</v>
      </c>
      <c r="L336" s="11">
        <v>4150</v>
      </c>
      <c r="M336" s="11">
        <v>3250</v>
      </c>
      <c r="N336" s="11">
        <f>1400+1000</f>
        <v>2400</v>
      </c>
      <c r="O336" s="11">
        <f>1000+600</f>
        <v>1600</v>
      </c>
      <c r="P336" s="142">
        <f>600+300</f>
        <v>900</v>
      </c>
      <c r="Q336" s="142">
        <v>300</v>
      </c>
      <c r="R336" s="368" t="s">
        <v>11</v>
      </c>
      <c r="S336" s="142"/>
      <c r="T336" s="142"/>
      <c r="U336" s="17"/>
      <c r="V336" s="17"/>
      <c r="W336" s="17"/>
      <c r="X336" s="17"/>
      <c r="Y336" s="17"/>
      <c r="Z336" s="491"/>
      <c r="AA336" s="532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</row>
    <row r="337" spans="1:46" s="6" customFormat="1" ht="13.8" thickBot="1" x14ac:dyDescent="0.3">
      <c r="A337" s="120"/>
      <c r="B337" s="120"/>
      <c r="C337" s="307"/>
      <c r="D337" s="85"/>
      <c r="E337" s="86" t="s">
        <v>161</v>
      </c>
      <c r="F337" s="86" t="s">
        <v>410</v>
      </c>
      <c r="G337" s="125" t="s">
        <v>295</v>
      </c>
      <c r="H337" s="125"/>
      <c r="I337" s="125"/>
      <c r="J337" s="41" t="s">
        <v>6</v>
      </c>
      <c r="K337" s="42">
        <f>K336+K335</f>
        <v>234477.71</v>
      </c>
      <c r="L337" s="43">
        <f>L336+L335</f>
        <v>24150</v>
      </c>
      <c r="M337" s="43">
        <f t="shared" ref="M337:N337" si="231">M336+M335</f>
        <v>23250</v>
      </c>
      <c r="N337" s="43">
        <f t="shared" si="231"/>
        <v>22400</v>
      </c>
      <c r="O337" s="43">
        <f>O336+O335</f>
        <v>21600</v>
      </c>
      <c r="P337" s="43">
        <f>P336+P335</f>
        <v>15900</v>
      </c>
      <c r="Q337" s="43">
        <f>Q336+Q335</f>
        <v>15300</v>
      </c>
      <c r="R337" s="41" t="s">
        <v>11</v>
      </c>
      <c r="S337" s="43"/>
      <c r="T337" s="43"/>
      <c r="U337" s="41"/>
      <c r="V337" s="41"/>
      <c r="W337" s="41"/>
      <c r="X337" s="41"/>
      <c r="Y337" s="41"/>
      <c r="Z337" s="492"/>
      <c r="AA337" s="533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</row>
    <row r="338" spans="1:46" s="2" customFormat="1" x14ac:dyDescent="0.25">
      <c r="A338" s="26" t="s">
        <v>95</v>
      </c>
      <c r="B338" s="26" t="s">
        <v>96</v>
      </c>
      <c r="C338" s="306"/>
      <c r="D338" s="33" t="s">
        <v>3</v>
      </c>
      <c r="E338" s="34">
        <v>39005</v>
      </c>
      <c r="F338" s="34" t="s">
        <v>269</v>
      </c>
      <c r="G338" s="35" t="s">
        <v>94</v>
      </c>
      <c r="H338" s="35"/>
      <c r="I338" s="35"/>
      <c r="J338" s="2" t="s">
        <v>1</v>
      </c>
      <c r="K338" s="27">
        <v>102423</v>
      </c>
      <c r="L338" s="4">
        <v>10000</v>
      </c>
      <c r="M338" s="4">
        <v>10000</v>
      </c>
      <c r="N338" s="4">
        <v>10000</v>
      </c>
      <c r="O338" s="4">
        <v>10000</v>
      </c>
      <c r="P338" s="283">
        <v>10000</v>
      </c>
      <c r="Q338" s="283">
        <v>10000</v>
      </c>
      <c r="R338" s="367" t="s">
        <v>11</v>
      </c>
      <c r="S338" s="283"/>
      <c r="T338" s="283"/>
      <c r="U338" s="283"/>
      <c r="Z338" s="490"/>
      <c r="AA338" s="60"/>
    </row>
    <row r="339" spans="1:46" s="2" customFormat="1" x14ac:dyDescent="0.25">
      <c r="A339" s="26"/>
      <c r="B339" s="26"/>
      <c r="C339" s="306"/>
      <c r="D339" s="33"/>
      <c r="E339" s="34" t="s">
        <v>12</v>
      </c>
      <c r="F339" s="34"/>
      <c r="G339" s="35" t="s">
        <v>298</v>
      </c>
      <c r="H339" s="35"/>
      <c r="I339" s="35"/>
      <c r="J339" s="17" t="s">
        <v>2</v>
      </c>
      <c r="K339" s="28">
        <v>23384.03</v>
      </c>
      <c r="L339" s="11">
        <v>2275</v>
      </c>
      <c r="M339" s="11">
        <v>1825</v>
      </c>
      <c r="N339" s="11">
        <f>800+600</f>
        <v>1400</v>
      </c>
      <c r="O339" s="11">
        <f>600+400</f>
        <v>1000</v>
      </c>
      <c r="P339" s="142">
        <f>400+200</f>
        <v>600</v>
      </c>
      <c r="Q339" s="142">
        <v>200</v>
      </c>
      <c r="R339" s="368" t="s">
        <v>11</v>
      </c>
      <c r="S339" s="142"/>
      <c r="T339" s="142"/>
      <c r="U339" s="142"/>
      <c r="V339" s="17"/>
      <c r="W339" s="17"/>
      <c r="X339" s="17"/>
      <c r="Y339" s="17"/>
      <c r="Z339" s="491"/>
      <c r="AA339" s="532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</row>
    <row r="340" spans="1:46" s="6" customFormat="1" ht="13.8" thickBot="1" x14ac:dyDescent="0.3">
      <c r="A340" s="120"/>
      <c r="B340" s="120"/>
      <c r="C340" s="307"/>
      <c r="D340" s="85"/>
      <c r="E340" s="86" t="s">
        <v>161</v>
      </c>
      <c r="F340" s="86" t="s">
        <v>410</v>
      </c>
      <c r="G340" s="125" t="s">
        <v>297</v>
      </c>
      <c r="H340" s="125"/>
      <c r="I340" s="125"/>
      <c r="J340" s="41" t="s">
        <v>6</v>
      </c>
      <c r="K340" s="42">
        <f>K339+K338</f>
        <v>125807.03</v>
      </c>
      <c r="L340" s="43">
        <f>L339+L338</f>
        <v>12275</v>
      </c>
      <c r="M340" s="43">
        <f t="shared" ref="M340:N340" si="232">M339+M338</f>
        <v>11825</v>
      </c>
      <c r="N340" s="43">
        <f t="shared" si="232"/>
        <v>11400</v>
      </c>
      <c r="O340" s="43">
        <f>O339+O338</f>
        <v>11000</v>
      </c>
      <c r="P340" s="43">
        <f>P339+P338</f>
        <v>10600</v>
      </c>
      <c r="Q340" s="43">
        <f>Q339+Q338</f>
        <v>10200</v>
      </c>
      <c r="R340" s="41" t="s">
        <v>11</v>
      </c>
      <c r="S340" s="43"/>
      <c r="T340" s="43"/>
      <c r="U340" s="43"/>
      <c r="V340" s="41"/>
      <c r="W340" s="41"/>
      <c r="X340" s="41"/>
      <c r="Y340" s="41"/>
      <c r="Z340" s="492"/>
      <c r="AA340" s="533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</row>
    <row r="341" spans="1:46" s="2" customFormat="1" x14ac:dyDescent="0.25">
      <c r="A341" s="26"/>
      <c r="B341" s="26" t="s">
        <v>96</v>
      </c>
      <c r="C341" s="306"/>
      <c r="D341" s="33" t="s">
        <v>3</v>
      </c>
      <c r="E341" s="34">
        <v>39005</v>
      </c>
      <c r="F341" s="34" t="s">
        <v>269</v>
      </c>
      <c r="G341" s="35" t="s">
        <v>537</v>
      </c>
      <c r="H341" s="35"/>
      <c r="I341" s="35"/>
      <c r="J341" s="2" t="s">
        <v>1</v>
      </c>
      <c r="K341" s="27">
        <v>38238</v>
      </c>
      <c r="L341" s="4">
        <v>5000</v>
      </c>
      <c r="M341" s="4">
        <v>5000</v>
      </c>
      <c r="N341" s="4">
        <v>5000</v>
      </c>
      <c r="O341" s="2" t="s">
        <v>11</v>
      </c>
      <c r="P341" s="283"/>
      <c r="Q341" s="283"/>
      <c r="R341" s="283"/>
      <c r="S341" s="283"/>
      <c r="T341" s="283"/>
      <c r="Z341" s="490"/>
      <c r="AA341" s="60"/>
    </row>
    <row r="342" spans="1:46" s="2" customFormat="1" x14ac:dyDescent="0.25">
      <c r="A342" s="26"/>
      <c r="B342" s="26"/>
      <c r="C342" s="306"/>
      <c r="D342" s="33"/>
      <c r="E342" s="34" t="s">
        <v>12</v>
      </c>
      <c r="F342" s="34"/>
      <c r="G342" s="35" t="s">
        <v>599</v>
      </c>
      <c r="H342" s="35"/>
      <c r="I342" s="35"/>
      <c r="J342" s="17" t="s">
        <v>2</v>
      </c>
      <c r="K342" s="28">
        <v>6270.71</v>
      </c>
      <c r="L342" s="11">
        <v>537.5</v>
      </c>
      <c r="M342" s="11">
        <v>312.5</v>
      </c>
      <c r="N342" s="11">
        <v>100</v>
      </c>
      <c r="O342" s="17" t="s">
        <v>11</v>
      </c>
      <c r="P342" s="142"/>
      <c r="Q342" s="142"/>
      <c r="R342" s="142"/>
      <c r="S342" s="142"/>
      <c r="T342" s="142"/>
      <c r="U342" s="17"/>
      <c r="V342" s="17"/>
      <c r="W342" s="17"/>
      <c r="X342" s="17"/>
      <c r="Y342" s="17"/>
      <c r="Z342" s="491"/>
      <c r="AA342" s="532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</row>
    <row r="343" spans="1:46" s="6" customFormat="1" ht="13.8" thickBot="1" x14ac:dyDescent="0.3">
      <c r="A343" s="120"/>
      <c r="B343" s="120"/>
      <c r="C343" s="307"/>
      <c r="D343" s="85"/>
      <c r="E343" s="86" t="s">
        <v>161</v>
      </c>
      <c r="F343" s="86" t="s">
        <v>410</v>
      </c>
      <c r="G343" s="125" t="s">
        <v>600</v>
      </c>
      <c r="H343" s="125"/>
      <c r="I343" s="125"/>
      <c r="J343" s="41" t="s">
        <v>6</v>
      </c>
      <c r="K343" s="42">
        <f>K342+K341</f>
        <v>44508.71</v>
      </c>
      <c r="L343" s="43">
        <f>L342+L341</f>
        <v>5537.5</v>
      </c>
      <c r="M343" s="43">
        <f>M342+M341</f>
        <v>5312.5</v>
      </c>
      <c r="N343" s="43">
        <f>N342+N341</f>
        <v>5100</v>
      </c>
      <c r="O343" s="41" t="s">
        <v>11</v>
      </c>
      <c r="P343" s="43"/>
      <c r="Q343" s="43"/>
      <c r="R343" s="43"/>
      <c r="S343" s="43"/>
      <c r="T343" s="43"/>
      <c r="U343" s="41"/>
      <c r="V343" s="41"/>
      <c r="W343" s="41"/>
      <c r="X343" s="41"/>
      <c r="Y343" s="41"/>
      <c r="Z343" s="492"/>
      <c r="AA343" s="533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</row>
    <row r="344" spans="1:46" s="2" customFormat="1" x14ac:dyDescent="0.25">
      <c r="A344" s="26" t="s">
        <v>95</v>
      </c>
      <c r="B344" s="26" t="s">
        <v>96</v>
      </c>
      <c r="C344" s="306"/>
      <c r="D344" s="33" t="s">
        <v>3</v>
      </c>
      <c r="E344" s="34">
        <v>39005</v>
      </c>
      <c r="F344" s="34" t="s">
        <v>269</v>
      </c>
      <c r="G344" s="35" t="s">
        <v>379</v>
      </c>
      <c r="H344" s="35"/>
      <c r="I344" s="35"/>
      <c r="J344" s="2" t="s">
        <v>1</v>
      </c>
      <c r="K344" s="27">
        <v>55000</v>
      </c>
      <c r="L344" s="4">
        <v>5000</v>
      </c>
      <c r="M344" s="4">
        <v>5000</v>
      </c>
      <c r="N344" s="4">
        <v>5000</v>
      </c>
      <c r="O344" s="4">
        <v>5000</v>
      </c>
      <c r="P344" s="283">
        <v>5000</v>
      </c>
      <c r="Q344" s="283">
        <v>6000</v>
      </c>
      <c r="R344" s="367" t="s">
        <v>11</v>
      </c>
      <c r="S344" s="283"/>
      <c r="T344" s="283"/>
      <c r="U344" s="283"/>
      <c r="Z344" s="490"/>
      <c r="AA344" s="60"/>
    </row>
    <row r="345" spans="1:46" s="2" customFormat="1" x14ac:dyDescent="0.25">
      <c r="A345" s="26"/>
      <c r="B345" s="26"/>
      <c r="C345" s="306"/>
      <c r="D345" s="33"/>
      <c r="E345" s="34" t="s">
        <v>12</v>
      </c>
      <c r="F345" s="34"/>
      <c r="G345" s="35" t="s">
        <v>226</v>
      </c>
      <c r="H345" s="35"/>
      <c r="I345" s="35"/>
      <c r="J345" s="17" t="s">
        <v>2</v>
      </c>
      <c r="K345" s="28">
        <v>12105</v>
      </c>
      <c r="L345" s="11">
        <v>1177.5</v>
      </c>
      <c r="M345" s="11">
        <v>952.5</v>
      </c>
      <c r="N345" s="11">
        <f>420+320</f>
        <v>740</v>
      </c>
      <c r="O345" s="11">
        <f>320+220</f>
        <v>540</v>
      </c>
      <c r="P345" s="142">
        <f>220+120</f>
        <v>340</v>
      </c>
      <c r="Q345" s="142">
        <v>120</v>
      </c>
      <c r="R345" s="368" t="s">
        <v>11</v>
      </c>
      <c r="S345" s="142"/>
      <c r="T345" s="142"/>
      <c r="U345" s="142"/>
      <c r="V345" s="17"/>
      <c r="W345" s="17"/>
      <c r="X345" s="17"/>
      <c r="Y345" s="17"/>
      <c r="Z345" s="491"/>
      <c r="AA345" s="532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</row>
    <row r="346" spans="1:46" s="6" customFormat="1" ht="13.8" thickBot="1" x14ac:dyDescent="0.3">
      <c r="A346" s="120"/>
      <c r="B346" s="120"/>
      <c r="C346" s="307"/>
      <c r="D346" s="85"/>
      <c r="E346" s="86" t="s">
        <v>161</v>
      </c>
      <c r="F346" s="86" t="s">
        <v>410</v>
      </c>
      <c r="G346" s="125"/>
      <c r="H346" s="125"/>
      <c r="I346" s="125"/>
      <c r="J346" s="41" t="s">
        <v>6</v>
      </c>
      <c r="K346" s="42">
        <f>K345+K344</f>
        <v>67105</v>
      </c>
      <c r="L346" s="43">
        <f>L345+L344</f>
        <v>6177.5</v>
      </c>
      <c r="M346" s="43">
        <f t="shared" ref="M346:Q346" si="233">M345+M344</f>
        <v>5952.5</v>
      </c>
      <c r="N346" s="43">
        <f t="shared" si="233"/>
        <v>5740</v>
      </c>
      <c r="O346" s="43">
        <f t="shared" si="233"/>
        <v>5540</v>
      </c>
      <c r="P346" s="43">
        <f t="shared" si="233"/>
        <v>5340</v>
      </c>
      <c r="Q346" s="43">
        <f t="shared" si="233"/>
        <v>6120</v>
      </c>
      <c r="R346" s="41" t="s">
        <v>11</v>
      </c>
      <c r="S346" s="43"/>
      <c r="T346" s="43"/>
      <c r="U346" s="43"/>
      <c r="V346" s="41"/>
      <c r="W346" s="41"/>
      <c r="X346" s="41"/>
      <c r="Y346" s="41"/>
      <c r="Z346" s="492"/>
      <c r="AA346" s="533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</row>
    <row r="347" spans="1:46" s="2" customFormat="1" x14ac:dyDescent="0.25">
      <c r="A347" s="26" t="s">
        <v>95</v>
      </c>
      <c r="B347" s="26" t="s">
        <v>96</v>
      </c>
      <c r="C347" s="306"/>
      <c r="D347" s="33" t="s">
        <v>3</v>
      </c>
      <c r="E347" s="34">
        <v>39005</v>
      </c>
      <c r="F347" s="34" t="s">
        <v>269</v>
      </c>
      <c r="G347" s="35" t="s">
        <v>227</v>
      </c>
      <c r="H347" s="35"/>
      <c r="I347" s="35"/>
      <c r="J347" s="2" t="s">
        <v>1</v>
      </c>
      <c r="K347" s="27">
        <v>84000</v>
      </c>
      <c r="L347" s="4">
        <v>10000</v>
      </c>
      <c r="M347" s="4">
        <v>10000</v>
      </c>
      <c r="N347" s="4">
        <v>10000</v>
      </c>
      <c r="O347" s="4">
        <v>10000</v>
      </c>
      <c r="P347" s="283">
        <v>5000</v>
      </c>
      <c r="Q347" s="283">
        <v>4000</v>
      </c>
      <c r="R347" s="367" t="s">
        <v>11</v>
      </c>
      <c r="S347" s="283"/>
      <c r="T347" s="283"/>
      <c r="U347" s="283"/>
      <c r="Z347" s="490"/>
      <c r="AA347" s="60"/>
    </row>
    <row r="348" spans="1:46" s="2" customFormat="1" x14ac:dyDescent="0.25">
      <c r="A348" s="26"/>
      <c r="B348" s="26"/>
      <c r="C348" s="306"/>
      <c r="D348" s="33"/>
      <c r="E348" s="34" t="s">
        <v>12</v>
      </c>
      <c r="F348" s="34"/>
      <c r="G348" s="35" t="s">
        <v>228</v>
      </c>
      <c r="H348" s="35"/>
      <c r="I348" s="35"/>
      <c r="J348" s="17" t="s">
        <v>2</v>
      </c>
      <c r="K348" s="28">
        <v>18625</v>
      </c>
      <c r="L348" s="11">
        <v>1835</v>
      </c>
      <c r="M348" s="11">
        <v>1385</v>
      </c>
      <c r="N348" s="11">
        <f>580+380</f>
        <v>960</v>
      </c>
      <c r="O348" s="11">
        <f>380+180</f>
        <v>560</v>
      </c>
      <c r="P348" s="142">
        <f>180+80</f>
        <v>260</v>
      </c>
      <c r="Q348" s="142">
        <v>80</v>
      </c>
      <c r="R348" s="368" t="s">
        <v>11</v>
      </c>
      <c r="S348" s="142"/>
      <c r="T348" s="142"/>
      <c r="U348" s="142"/>
      <c r="V348" s="17"/>
      <c r="W348" s="17"/>
      <c r="X348" s="17"/>
      <c r="Y348" s="17"/>
      <c r="Z348" s="491"/>
      <c r="AA348" s="532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</row>
    <row r="349" spans="1:46" s="6" customFormat="1" ht="13.8" thickBot="1" x14ac:dyDescent="0.3">
      <c r="A349" s="120"/>
      <c r="B349" s="120"/>
      <c r="C349" s="307"/>
      <c r="D349" s="85"/>
      <c r="E349" s="86" t="s">
        <v>161</v>
      </c>
      <c r="F349" s="86" t="s">
        <v>410</v>
      </c>
      <c r="G349" s="125" t="s">
        <v>299</v>
      </c>
      <c r="H349" s="125"/>
      <c r="I349" s="125"/>
      <c r="J349" s="41" t="s">
        <v>6</v>
      </c>
      <c r="K349" s="42">
        <f>K348+K347</f>
        <v>102625</v>
      </c>
      <c r="L349" s="43">
        <f>L348+L347</f>
        <v>11835</v>
      </c>
      <c r="M349" s="43">
        <f t="shared" ref="M349:Q349" si="234">M348+M347</f>
        <v>11385</v>
      </c>
      <c r="N349" s="43">
        <f t="shared" si="234"/>
        <v>10960</v>
      </c>
      <c r="O349" s="43">
        <f t="shared" si="234"/>
        <v>10560</v>
      </c>
      <c r="P349" s="43">
        <f t="shared" si="234"/>
        <v>5260</v>
      </c>
      <c r="Q349" s="43">
        <f t="shared" si="234"/>
        <v>4080</v>
      </c>
      <c r="R349" s="41" t="s">
        <v>11</v>
      </c>
      <c r="S349" s="43"/>
      <c r="T349" s="43"/>
      <c r="U349" s="43"/>
      <c r="V349" s="41"/>
      <c r="W349" s="41"/>
      <c r="X349" s="41"/>
      <c r="Y349" s="41"/>
      <c r="Z349" s="492"/>
      <c r="AA349" s="533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</row>
    <row r="350" spans="1:46" s="2" customFormat="1" x14ac:dyDescent="0.25">
      <c r="A350" s="26" t="s">
        <v>101</v>
      </c>
      <c r="B350" s="26" t="s">
        <v>96</v>
      </c>
      <c r="C350" s="306"/>
      <c r="D350" s="33" t="s">
        <v>3</v>
      </c>
      <c r="E350" s="34">
        <v>39005</v>
      </c>
      <c r="F350" s="34" t="s">
        <v>269</v>
      </c>
      <c r="G350" s="35" t="s">
        <v>105</v>
      </c>
      <c r="H350" s="35"/>
      <c r="I350" s="35"/>
      <c r="J350" s="2" t="s">
        <v>1</v>
      </c>
      <c r="K350" s="27">
        <v>50000</v>
      </c>
      <c r="L350" s="4">
        <v>5000</v>
      </c>
      <c r="M350" s="4">
        <v>5000</v>
      </c>
      <c r="N350" s="4">
        <v>5000</v>
      </c>
      <c r="O350" s="4">
        <v>5000</v>
      </c>
      <c r="P350" s="283">
        <v>5000</v>
      </c>
      <c r="Q350" s="283">
        <v>5000</v>
      </c>
      <c r="R350" s="367" t="s">
        <v>11</v>
      </c>
      <c r="S350" s="283"/>
      <c r="T350" s="283"/>
      <c r="U350" s="283"/>
      <c r="Z350" s="490"/>
      <c r="AA350" s="60"/>
    </row>
    <row r="351" spans="1:46" s="2" customFormat="1" x14ac:dyDescent="0.25">
      <c r="A351" s="26"/>
      <c r="B351" s="26"/>
      <c r="C351" s="306"/>
      <c r="D351" s="33"/>
      <c r="E351" s="34" t="s">
        <v>12</v>
      </c>
      <c r="F351" s="34"/>
      <c r="G351" s="35" t="s">
        <v>221</v>
      </c>
      <c r="H351" s="35"/>
      <c r="I351" s="35"/>
      <c r="J351" s="17" t="s">
        <v>2</v>
      </c>
      <c r="K351" s="28">
        <v>11525</v>
      </c>
      <c r="L351" s="11">
        <v>1137.5</v>
      </c>
      <c r="M351" s="11">
        <v>912.5</v>
      </c>
      <c r="N351" s="11">
        <f>400+300</f>
        <v>700</v>
      </c>
      <c r="O351" s="11">
        <f>300+200</f>
        <v>500</v>
      </c>
      <c r="P351" s="142">
        <f>200+100</f>
        <v>300</v>
      </c>
      <c r="Q351" s="142">
        <v>100</v>
      </c>
      <c r="R351" s="368" t="s">
        <v>11</v>
      </c>
      <c r="S351" s="142"/>
      <c r="T351" s="142"/>
      <c r="U351" s="142"/>
      <c r="V351" s="17"/>
      <c r="W351" s="17"/>
      <c r="X351" s="17"/>
      <c r="Y351" s="17"/>
      <c r="Z351" s="491"/>
      <c r="AA351" s="532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</row>
    <row r="352" spans="1:46" s="6" customFormat="1" ht="13.8" thickBot="1" x14ac:dyDescent="0.3">
      <c r="A352" s="120"/>
      <c r="B352" s="120"/>
      <c r="C352" s="307"/>
      <c r="D352" s="85"/>
      <c r="E352" s="86" t="s">
        <v>40</v>
      </c>
      <c r="F352" s="86" t="s">
        <v>410</v>
      </c>
      <c r="G352" s="125"/>
      <c r="H352" s="125"/>
      <c r="I352" s="125"/>
      <c r="J352" s="41" t="s">
        <v>6</v>
      </c>
      <c r="K352" s="42">
        <f>K351+K350</f>
        <v>61525</v>
      </c>
      <c r="L352" s="43">
        <f>L351+L350</f>
        <v>6137.5</v>
      </c>
      <c r="M352" s="43">
        <f t="shared" ref="M352:Q352" si="235">M351+M350</f>
        <v>5912.5</v>
      </c>
      <c r="N352" s="43">
        <f t="shared" si="235"/>
        <v>5700</v>
      </c>
      <c r="O352" s="43">
        <f t="shared" si="235"/>
        <v>5500</v>
      </c>
      <c r="P352" s="43">
        <f t="shared" si="235"/>
        <v>5300</v>
      </c>
      <c r="Q352" s="43">
        <f t="shared" si="235"/>
        <v>5100</v>
      </c>
      <c r="R352" s="41" t="s">
        <v>11</v>
      </c>
      <c r="S352" s="43"/>
      <c r="T352" s="43"/>
      <c r="U352" s="43"/>
      <c r="V352" s="41"/>
      <c r="W352" s="41"/>
      <c r="X352" s="41"/>
      <c r="Y352" s="41"/>
      <c r="Z352" s="492"/>
      <c r="AA352" s="533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</row>
    <row r="353" spans="1:46" s="2" customFormat="1" x14ac:dyDescent="0.25">
      <c r="A353" s="26"/>
      <c r="B353" s="26" t="s">
        <v>96</v>
      </c>
      <c r="C353" s="306"/>
      <c r="D353" s="33" t="s">
        <v>3</v>
      </c>
      <c r="E353" s="34">
        <v>39005</v>
      </c>
      <c r="F353" s="34" t="s">
        <v>269</v>
      </c>
      <c r="G353" s="35" t="s">
        <v>359</v>
      </c>
      <c r="H353" s="35"/>
      <c r="I353" s="35"/>
      <c r="J353" s="2" t="s">
        <v>1</v>
      </c>
      <c r="K353" s="27">
        <v>32000</v>
      </c>
      <c r="L353" s="4">
        <v>5000</v>
      </c>
      <c r="M353" s="4">
        <v>5000</v>
      </c>
      <c r="N353" s="2" t="s">
        <v>11</v>
      </c>
      <c r="O353" s="4"/>
      <c r="P353" s="283"/>
      <c r="Q353" s="283"/>
      <c r="R353" s="283"/>
      <c r="S353" s="283"/>
      <c r="T353" s="283"/>
      <c r="U353" s="283"/>
      <c r="Z353" s="490"/>
      <c r="AA353" s="60"/>
    </row>
    <row r="354" spans="1:46" s="2" customFormat="1" x14ac:dyDescent="0.25">
      <c r="A354" s="26"/>
      <c r="B354" s="26"/>
      <c r="C354" s="306"/>
      <c r="D354" s="33"/>
      <c r="E354" s="34" t="s">
        <v>12</v>
      </c>
      <c r="F354" s="34"/>
      <c r="G354" s="35" t="s">
        <v>197</v>
      </c>
      <c r="H354" s="35"/>
      <c r="I354" s="35"/>
      <c r="J354" s="17" t="s">
        <v>2</v>
      </c>
      <c r="K354" s="28">
        <v>4815</v>
      </c>
      <c r="L354" s="11">
        <v>337.5</v>
      </c>
      <c r="M354" s="11">
        <v>112.5</v>
      </c>
      <c r="N354" s="17" t="s">
        <v>11</v>
      </c>
      <c r="O354" s="11"/>
      <c r="P354" s="142"/>
      <c r="Q354" s="142"/>
      <c r="R354" s="142"/>
      <c r="S354" s="142"/>
      <c r="T354" s="142"/>
      <c r="U354" s="142"/>
      <c r="V354" s="17"/>
      <c r="W354" s="17"/>
      <c r="X354" s="17"/>
      <c r="Y354" s="17"/>
      <c r="Z354" s="491"/>
      <c r="AA354" s="532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</row>
    <row r="355" spans="1:46" s="6" customFormat="1" ht="13.8" thickBot="1" x14ac:dyDescent="0.3">
      <c r="A355" s="120"/>
      <c r="B355" s="120"/>
      <c r="C355" s="307"/>
      <c r="D355" s="85"/>
      <c r="E355" s="86" t="s">
        <v>40</v>
      </c>
      <c r="F355" s="86" t="s">
        <v>410</v>
      </c>
      <c r="G355" s="125"/>
      <c r="H355" s="125"/>
      <c r="I355" s="125"/>
      <c r="J355" s="41" t="s">
        <v>6</v>
      </c>
      <c r="K355" s="42">
        <f>K354+K353</f>
        <v>36815</v>
      </c>
      <c r="L355" s="43">
        <f>L354+L353</f>
        <v>5337.5</v>
      </c>
      <c r="M355" s="43">
        <f t="shared" ref="M355" si="236">M354+M353</f>
        <v>5112.5</v>
      </c>
      <c r="N355" s="41" t="s">
        <v>11</v>
      </c>
      <c r="O355" s="43"/>
      <c r="P355" s="43"/>
      <c r="Q355" s="43"/>
      <c r="R355" s="43"/>
      <c r="S355" s="43"/>
      <c r="T355" s="43"/>
      <c r="U355" s="43"/>
      <c r="V355" s="41"/>
      <c r="W355" s="41"/>
      <c r="X355" s="41"/>
      <c r="Y355" s="41"/>
      <c r="Z355" s="492"/>
      <c r="AA355" s="533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</row>
    <row r="356" spans="1:46" s="2" customFormat="1" x14ac:dyDescent="0.25">
      <c r="A356" s="26"/>
      <c r="B356" s="26" t="s">
        <v>96</v>
      </c>
      <c r="C356" s="306"/>
      <c r="D356" s="33" t="s">
        <v>3</v>
      </c>
      <c r="E356" s="34">
        <v>39005</v>
      </c>
      <c r="F356" s="34" t="s">
        <v>302</v>
      </c>
      <c r="G356" s="35" t="s">
        <v>380</v>
      </c>
      <c r="H356" s="35"/>
      <c r="I356" s="35"/>
      <c r="J356" s="2" t="s">
        <v>1</v>
      </c>
      <c r="K356" s="27">
        <v>56666</v>
      </c>
      <c r="L356" s="2" t="s">
        <v>57</v>
      </c>
      <c r="M356" s="4"/>
      <c r="N356" s="4"/>
      <c r="O356" s="4"/>
      <c r="P356" s="283"/>
      <c r="Q356" s="283"/>
      <c r="R356" s="283"/>
      <c r="S356" s="283"/>
      <c r="T356" s="283"/>
      <c r="U356" s="283"/>
      <c r="Z356" s="490"/>
      <c r="AA356" s="60"/>
    </row>
    <row r="357" spans="1:46" s="2" customFormat="1" x14ac:dyDescent="0.25">
      <c r="A357" s="26"/>
      <c r="B357" s="26"/>
      <c r="C357" s="306"/>
      <c r="D357" s="33"/>
      <c r="E357" s="34" t="s">
        <v>12</v>
      </c>
      <c r="F357" s="34"/>
      <c r="G357" s="35" t="s">
        <v>303</v>
      </c>
      <c r="H357" s="35"/>
      <c r="I357" s="35"/>
      <c r="J357" s="17" t="s">
        <v>2</v>
      </c>
      <c r="K357" s="28">
        <v>3674.97</v>
      </c>
      <c r="L357" s="17" t="s">
        <v>57</v>
      </c>
      <c r="M357" s="11"/>
      <c r="N357" s="11"/>
      <c r="O357" s="11"/>
      <c r="P357" s="142"/>
      <c r="Q357" s="142"/>
      <c r="R357" s="142"/>
      <c r="S357" s="142"/>
      <c r="T357" s="142"/>
      <c r="U357" s="142"/>
      <c r="V357" s="17"/>
      <c r="W357" s="17"/>
      <c r="X357" s="17"/>
      <c r="Y357" s="17"/>
      <c r="Z357" s="491"/>
      <c r="AA357" s="532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</row>
    <row r="358" spans="1:46" s="6" customFormat="1" ht="13.8" thickBot="1" x14ac:dyDescent="0.3">
      <c r="A358" s="120"/>
      <c r="B358" s="120"/>
      <c r="C358" s="307"/>
      <c r="D358" s="85"/>
      <c r="E358" s="86" t="s">
        <v>161</v>
      </c>
      <c r="F358" s="86" t="s">
        <v>410</v>
      </c>
      <c r="G358" s="125" t="s">
        <v>441</v>
      </c>
      <c r="H358" s="145"/>
      <c r="I358" s="145"/>
      <c r="J358" s="41" t="s">
        <v>6</v>
      </c>
      <c r="K358" s="42">
        <f>K357+K356</f>
        <v>60340.97</v>
      </c>
      <c r="L358" s="41" t="s">
        <v>57</v>
      </c>
      <c r="M358" s="43"/>
      <c r="N358" s="43"/>
      <c r="O358" s="43"/>
      <c r="P358" s="43"/>
      <c r="Q358" s="43"/>
      <c r="R358" s="43"/>
      <c r="S358" s="43"/>
      <c r="T358" s="43"/>
      <c r="U358" s="43"/>
      <c r="V358" s="41"/>
      <c r="W358" s="41"/>
      <c r="X358" s="41"/>
      <c r="Y358" s="41"/>
      <c r="Z358" s="492"/>
      <c r="AA358" s="533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</row>
    <row r="359" spans="1:46" s="2" customFormat="1" x14ac:dyDescent="0.25">
      <c r="A359" s="26" t="s">
        <v>100</v>
      </c>
      <c r="B359" s="26" t="s">
        <v>97</v>
      </c>
      <c r="C359" s="306"/>
      <c r="D359" s="33" t="s">
        <v>3</v>
      </c>
      <c r="E359" s="34">
        <v>39005</v>
      </c>
      <c r="F359" s="34" t="s">
        <v>268</v>
      </c>
      <c r="G359" s="35" t="s">
        <v>309</v>
      </c>
      <c r="H359" s="35">
        <v>3100</v>
      </c>
      <c r="I359" s="35">
        <v>538003</v>
      </c>
      <c r="J359" s="2" t="s">
        <v>1</v>
      </c>
      <c r="K359" s="27">
        <v>60000</v>
      </c>
      <c r="L359" s="4">
        <v>5000</v>
      </c>
      <c r="M359" s="4">
        <v>5000</v>
      </c>
      <c r="N359" s="4">
        <v>5000</v>
      </c>
      <c r="O359" s="4">
        <v>5000</v>
      </c>
      <c r="P359" s="283">
        <v>5000</v>
      </c>
      <c r="Q359" s="283">
        <v>5000</v>
      </c>
      <c r="R359" s="367" t="s">
        <v>11</v>
      </c>
      <c r="S359" s="283"/>
      <c r="T359" s="283"/>
      <c r="U359" s="283"/>
      <c r="Z359" s="490"/>
      <c r="AA359" s="60"/>
    </row>
    <row r="360" spans="1:46" s="2" customFormat="1" x14ac:dyDescent="0.25">
      <c r="A360" s="26"/>
      <c r="B360" s="26"/>
      <c r="C360" s="306"/>
      <c r="D360" s="33"/>
      <c r="E360" s="34" t="s">
        <v>13</v>
      </c>
      <c r="F360" s="34"/>
      <c r="G360" s="35" t="s">
        <v>310</v>
      </c>
      <c r="H360" s="35"/>
      <c r="I360" s="35"/>
      <c r="J360" s="17" t="s">
        <v>2</v>
      </c>
      <c r="K360" s="28">
        <v>12200</v>
      </c>
      <c r="L360" s="11">
        <v>1137.5</v>
      </c>
      <c r="M360" s="11">
        <v>912.5</v>
      </c>
      <c r="N360" s="11">
        <f>400+300</f>
        <v>700</v>
      </c>
      <c r="O360" s="11">
        <f>300+200</f>
        <v>500</v>
      </c>
      <c r="P360" s="142">
        <f>200+100</f>
        <v>300</v>
      </c>
      <c r="Q360" s="142">
        <v>100</v>
      </c>
      <c r="R360" s="368" t="s">
        <v>11</v>
      </c>
      <c r="S360" s="142"/>
      <c r="T360" s="142"/>
      <c r="U360" s="142"/>
      <c r="V360" s="17"/>
      <c r="W360" s="17"/>
      <c r="X360" s="17"/>
      <c r="Y360" s="17"/>
      <c r="Z360" s="491"/>
      <c r="AA360" s="532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</row>
    <row r="361" spans="1:46" s="6" customFormat="1" ht="13.8" thickBot="1" x14ac:dyDescent="0.3">
      <c r="A361" s="120"/>
      <c r="B361" s="120"/>
      <c r="C361" s="307"/>
      <c r="D361" s="85"/>
      <c r="E361" s="86" t="s">
        <v>22</v>
      </c>
      <c r="F361" s="86" t="s">
        <v>410</v>
      </c>
      <c r="G361" s="125" t="s">
        <v>720</v>
      </c>
      <c r="H361" s="125"/>
      <c r="I361" s="125"/>
      <c r="J361" s="41" t="s">
        <v>6</v>
      </c>
      <c r="K361" s="42">
        <f>K360+K359</f>
        <v>72200</v>
      </c>
      <c r="L361" s="43">
        <f>L360+L359</f>
        <v>6137.5</v>
      </c>
      <c r="M361" s="43">
        <f t="shared" ref="M361:Q361" si="237">M360+M359</f>
        <v>5912.5</v>
      </c>
      <c r="N361" s="43">
        <f t="shared" si="237"/>
        <v>5700</v>
      </c>
      <c r="O361" s="43">
        <f t="shared" si="237"/>
        <v>5500</v>
      </c>
      <c r="P361" s="43">
        <f t="shared" si="237"/>
        <v>5300</v>
      </c>
      <c r="Q361" s="43">
        <f t="shared" si="237"/>
        <v>5100</v>
      </c>
      <c r="R361" s="41" t="s">
        <v>11</v>
      </c>
      <c r="S361" s="43"/>
      <c r="T361" s="43"/>
      <c r="U361" s="43"/>
      <c r="V361" s="41"/>
      <c r="W361" s="41"/>
      <c r="X361" s="41"/>
      <c r="Y361" s="41"/>
      <c r="Z361" s="492"/>
      <c r="AA361" s="533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</row>
    <row r="362" spans="1:46" s="2" customFormat="1" x14ac:dyDescent="0.25">
      <c r="A362" s="26"/>
      <c r="B362" s="26" t="s">
        <v>96</v>
      </c>
      <c r="C362" s="306"/>
      <c r="D362" s="33" t="s">
        <v>3</v>
      </c>
      <c r="E362" s="34">
        <v>39005</v>
      </c>
      <c r="F362" s="34" t="s">
        <v>259</v>
      </c>
      <c r="G362" s="35" t="s">
        <v>198</v>
      </c>
      <c r="H362" s="35"/>
      <c r="I362" s="35"/>
      <c r="J362" s="2" t="s">
        <v>1</v>
      </c>
      <c r="K362" s="27">
        <v>40000</v>
      </c>
      <c r="L362" s="4">
        <v>5000</v>
      </c>
      <c r="M362" s="2" t="s">
        <v>11</v>
      </c>
      <c r="N362" s="4"/>
      <c r="O362" s="4"/>
      <c r="P362" s="283"/>
      <c r="Q362" s="283"/>
      <c r="R362" s="283"/>
      <c r="S362" s="283"/>
      <c r="T362" s="283"/>
      <c r="U362" s="283"/>
      <c r="Z362" s="490"/>
      <c r="AA362" s="60"/>
    </row>
    <row r="363" spans="1:46" s="2" customFormat="1" x14ac:dyDescent="0.25">
      <c r="A363" s="26"/>
      <c r="B363" s="26"/>
      <c r="C363" s="306"/>
      <c r="D363" s="33"/>
      <c r="E363" s="34" t="s">
        <v>12</v>
      </c>
      <c r="F363" s="34"/>
      <c r="G363" s="35" t="s">
        <v>199</v>
      </c>
      <c r="H363" s="35"/>
      <c r="I363" s="35"/>
      <c r="J363" s="17" t="s">
        <v>2</v>
      </c>
      <c r="K363" s="28">
        <v>4725</v>
      </c>
      <c r="L363" s="11">
        <v>112.5</v>
      </c>
      <c r="M363" s="17" t="s">
        <v>11</v>
      </c>
      <c r="N363" s="11"/>
      <c r="O363" s="11"/>
      <c r="P363" s="142"/>
      <c r="Q363" s="142"/>
      <c r="R363" s="142"/>
      <c r="S363" s="142"/>
      <c r="T363" s="142"/>
      <c r="U363" s="142"/>
      <c r="V363" s="17"/>
      <c r="W363" s="17"/>
      <c r="X363" s="17"/>
      <c r="Y363" s="17"/>
      <c r="Z363" s="491"/>
      <c r="AA363" s="532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</row>
    <row r="364" spans="1:46" s="6" customFormat="1" ht="13.8" thickBot="1" x14ac:dyDescent="0.3">
      <c r="A364" s="120"/>
      <c r="B364" s="120"/>
      <c r="C364" s="307"/>
      <c r="D364" s="85"/>
      <c r="E364" s="86" t="s">
        <v>160</v>
      </c>
      <c r="F364" s="86" t="s">
        <v>410</v>
      </c>
      <c r="G364" s="125"/>
      <c r="H364" s="125"/>
      <c r="I364" s="125"/>
      <c r="J364" s="41" t="s">
        <v>6</v>
      </c>
      <c r="K364" s="42">
        <f>K363+K362</f>
        <v>44725</v>
      </c>
      <c r="L364" s="43">
        <f>L363+L362</f>
        <v>5112.5</v>
      </c>
      <c r="M364" s="41" t="s">
        <v>11</v>
      </c>
      <c r="N364" s="43"/>
      <c r="O364" s="43"/>
      <c r="P364" s="43"/>
      <c r="Q364" s="43"/>
      <c r="R364" s="43"/>
      <c r="S364" s="43"/>
      <c r="T364" s="43"/>
      <c r="U364" s="43"/>
      <c r="V364" s="41"/>
      <c r="W364" s="41"/>
      <c r="X364" s="41"/>
      <c r="Y364" s="41"/>
      <c r="Z364" s="492"/>
      <c r="AA364" s="533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</row>
    <row r="365" spans="1:46" s="2" customFormat="1" x14ac:dyDescent="0.25">
      <c r="A365" s="26"/>
      <c r="B365" s="26" t="s">
        <v>96</v>
      </c>
      <c r="C365" s="306"/>
      <c r="D365" s="33" t="s">
        <v>3</v>
      </c>
      <c r="E365" s="34">
        <v>39005</v>
      </c>
      <c r="F365" s="34" t="s">
        <v>301</v>
      </c>
      <c r="G365" s="35" t="s">
        <v>213</v>
      </c>
      <c r="H365" s="35">
        <v>31422106</v>
      </c>
      <c r="I365" s="35">
        <v>586202</v>
      </c>
      <c r="J365" s="2" t="s">
        <v>1</v>
      </c>
      <c r="K365" s="27">
        <v>233000</v>
      </c>
      <c r="L365" s="2" t="s">
        <v>43</v>
      </c>
      <c r="M365" s="4"/>
      <c r="N365" s="4"/>
      <c r="O365" s="4"/>
      <c r="P365" s="283"/>
      <c r="Q365" s="283"/>
      <c r="R365" s="283"/>
      <c r="S365" s="283"/>
      <c r="T365" s="283"/>
      <c r="U365" s="283"/>
      <c r="Z365" s="490"/>
      <c r="AA365" s="60"/>
    </row>
    <row r="366" spans="1:46" s="2" customFormat="1" x14ac:dyDescent="0.25">
      <c r="A366" s="26"/>
      <c r="B366" s="26"/>
      <c r="C366" s="306"/>
      <c r="D366" s="33"/>
      <c r="E366" s="34" t="s">
        <v>12</v>
      </c>
      <c r="F366" s="34"/>
      <c r="G366" s="35" t="s">
        <v>214</v>
      </c>
      <c r="H366" s="35"/>
      <c r="I366" s="35"/>
      <c r="J366" s="17" t="s">
        <v>2</v>
      </c>
      <c r="K366" s="28">
        <v>25560</v>
      </c>
      <c r="L366" s="17" t="s">
        <v>43</v>
      </c>
      <c r="M366" s="11"/>
      <c r="N366" s="11"/>
      <c r="O366" s="11"/>
      <c r="P366" s="142"/>
      <c r="Q366" s="142"/>
      <c r="R366" s="142"/>
      <c r="S366" s="142"/>
      <c r="T366" s="142"/>
      <c r="U366" s="142"/>
      <c r="V366" s="17"/>
      <c r="W366" s="17"/>
      <c r="X366" s="17"/>
      <c r="Y366" s="17"/>
      <c r="Z366" s="491"/>
      <c r="AA366" s="532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</row>
    <row r="367" spans="1:46" s="6" customFormat="1" ht="13.8" thickBot="1" x14ac:dyDescent="0.3">
      <c r="A367" s="120"/>
      <c r="B367" s="120"/>
      <c r="C367" s="307"/>
      <c r="D367" s="85"/>
      <c r="E367" s="86" t="s">
        <v>15</v>
      </c>
      <c r="F367" s="86" t="s">
        <v>410</v>
      </c>
      <c r="G367" s="125"/>
      <c r="H367" s="125"/>
      <c r="I367" s="125"/>
      <c r="J367" s="41" t="s">
        <v>6</v>
      </c>
      <c r="K367" s="42">
        <f>K366+K365</f>
        <v>258560</v>
      </c>
      <c r="L367" s="41" t="s">
        <v>43</v>
      </c>
      <c r="M367" s="43"/>
      <c r="N367" s="43"/>
      <c r="O367" s="43"/>
      <c r="P367" s="43"/>
      <c r="Q367" s="43"/>
      <c r="R367" s="43"/>
      <c r="S367" s="43"/>
      <c r="T367" s="43"/>
      <c r="U367" s="43"/>
      <c r="V367" s="41"/>
      <c r="W367" s="41"/>
      <c r="X367" s="41"/>
      <c r="Y367" s="41"/>
      <c r="Z367" s="492"/>
      <c r="AA367" s="533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</row>
    <row r="368" spans="1:46" s="3" customFormat="1" x14ac:dyDescent="0.25">
      <c r="A368" s="121"/>
      <c r="B368" s="121"/>
      <c r="C368" s="306"/>
      <c r="D368" s="54"/>
      <c r="E368" s="54"/>
      <c r="F368" s="54"/>
      <c r="G368" s="36" t="s">
        <v>32</v>
      </c>
      <c r="H368" s="152">
        <v>1772319</v>
      </c>
      <c r="I368" s="36">
        <v>591100</v>
      </c>
      <c r="J368" s="33" t="s">
        <v>1</v>
      </c>
      <c r="K368" s="37">
        <f>K365+K362+K359+K356+K353+K350+K347+K344+K341+K338+K335+K332+K329+K326</f>
        <v>1658765</v>
      </c>
      <c r="L368" s="7">
        <f>L362+L359+L353+L350+L347+L344+L341+L338+L335+L332+L329+L326</f>
        <v>190000</v>
      </c>
      <c r="M368" s="7">
        <f>M359+M353+M350+M347+M344+M341+M338+M335+M332</f>
        <v>115000</v>
      </c>
      <c r="N368" s="7">
        <f>N359+N350+N347+N344+N341+N338+N335+N332</f>
        <v>110000</v>
      </c>
      <c r="O368" s="7">
        <f t="shared" ref="O368:Q369" si="238">O359+O350+O347+O344+O338+O335</f>
        <v>55000</v>
      </c>
      <c r="P368" s="7">
        <f t="shared" si="238"/>
        <v>45000</v>
      </c>
      <c r="Q368" s="7">
        <f t="shared" si="238"/>
        <v>45000</v>
      </c>
      <c r="R368" s="3" t="s">
        <v>11</v>
      </c>
      <c r="S368" s="7"/>
      <c r="T368" s="7"/>
      <c r="U368" s="7"/>
      <c r="Z368" s="104"/>
      <c r="AA368" s="58"/>
    </row>
    <row r="369" spans="1:46" s="3" customFormat="1" x14ac:dyDescent="0.25">
      <c r="A369" s="121"/>
      <c r="B369" s="121"/>
      <c r="C369" s="306"/>
      <c r="D369" s="54"/>
      <c r="E369" s="54"/>
      <c r="F369" s="54"/>
      <c r="G369" s="146"/>
      <c r="H369" s="152">
        <v>1772319</v>
      </c>
      <c r="I369" s="156">
        <v>595100</v>
      </c>
      <c r="J369" s="38" t="s">
        <v>2</v>
      </c>
      <c r="K369" s="39">
        <f>K366+K363+K360+K357+K354+K351+K348+K345+K342+K339+K336+K333+K330+K327</f>
        <v>275369.42000000004</v>
      </c>
      <c r="L369" s="16">
        <f>L363+L360+L354+L351+L348+L345+L342+L339+L336+L333+L330+L327</f>
        <v>19650</v>
      </c>
      <c r="M369" s="16">
        <f>M360+M354+M351+M348+M345+M342+M339+M336+M333</f>
        <v>12787.5</v>
      </c>
      <c r="N369" s="16">
        <f>N360+N351+N348+N345+N342+N339+N336+N333</f>
        <v>8000</v>
      </c>
      <c r="O369" s="16">
        <f t="shared" si="238"/>
        <v>4700</v>
      </c>
      <c r="P369" s="16">
        <f t="shared" si="238"/>
        <v>2700</v>
      </c>
      <c r="Q369" s="16">
        <f t="shared" si="238"/>
        <v>900</v>
      </c>
      <c r="R369" s="20" t="s">
        <v>11</v>
      </c>
      <c r="S369" s="16"/>
      <c r="T369" s="16"/>
      <c r="U369" s="16"/>
      <c r="V369" s="20"/>
      <c r="W369" s="20"/>
      <c r="X369" s="20"/>
      <c r="Y369" s="20"/>
      <c r="Z369" s="493"/>
      <c r="AA369" s="63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</row>
    <row r="370" spans="1:46" s="8" customFormat="1" ht="13.8" thickBot="1" x14ac:dyDescent="0.3">
      <c r="A370" s="122"/>
      <c r="B370" s="122"/>
      <c r="C370" s="307"/>
      <c r="D370" s="85"/>
      <c r="E370" s="85"/>
      <c r="F370" s="85"/>
      <c r="G370" s="85"/>
      <c r="H370" s="85"/>
      <c r="I370" s="85"/>
      <c r="J370" s="44" t="s">
        <v>5</v>
      </c>
      <c r="K370" s="45">
        <f>K369+K368</f>
        <v>1934134.42</v>
      </c>
      <c r="L370" s="46">
        <f>L369+L368</f>
        <v>209650</v>
      </c>
      <c r="M370" s="46">
        <f t="shared" ref="M370:Q370" si="239">M369+M368</f>
        <v>127787.5</v>
      </c>
      <c r="N370" s="46">
        <f t="shared" si="239"/>
        <v>118000</v>
      </c>
      <c r="O370" s="46">
        <f t="shared" si="239"/>
        <v>59700</v>
      </c>
      <c r="P370" s="46">
        <f t="shared" si="239"/>
        <v>47700</v>
      </c>
      <c r="Q370" s="46">
        <f t="shared" si="239"/>
        <v>45900</v>
      </c>
      <c r="R370" s="47" t="s">
        <v>11</v>
      </c>
      <c r="S370" s="46"/>
      <c r="T370" s="46"/>
      <c r="U370" s="406"/>
      <c r="V370" s="47"/>
      <c r="W370" s="47"/>
      <c r="X370" s="47"/>
      <c r="Y370" s="47"/>
      <c r="Z370" s="494"/>
      <c r="AA370" s="65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</row>
    <row r="371" spans="1:46" s="2" customFormat="1" x14ac:dyDescent="0.25">
      <c r="A371" s="26" t="s">
        <v>0</v>
      </c>
      <c r="B371" s="26" t="s">
        <v>96</v>
      </c>
      <c r="C371" s="306"/>
      <c r="D371" s="14" t="s">
        <v>0</v>
      </c>
      <c r="E371" s="24">
        <v>39005</v>
      </c>
      <c r="F371" s="24" t="s">
        <v>266</v>
      </c>
      <c r="G371" s="315" t="s">
        <v>253</v>
      </c>
      <c r="H371" s="315">
        <v>60315100</v>
      </c>
      <c r="I371" s="315">
        <v>586000</v>
      </c>
      <c r="J371" s="2" t="s">
        <v>1</v>
      </c>
      <c r="K371" s="27">
        <v>232000</v>
      </c>
      <c r="L371" s="4">
        <v>15000</v>
      </c>
      <c r="M371" s="4">
        <v>15000</v>
      </c>
      <c r="N371" s="4">
        <v>10000</v>
      </c>
      <c r="O371" s="4">
        <v>10000</v>
      </c>
      <c r="P371" s="283">
        <v>10000</v>
      </c>
      <c r="Q371" s="283">
        <v>10000</v>
      </c>
      <c r="R371" s="283">
        <v>10000</v>
      </c>
      <c r="S371" s="283">
        <v>10000</v>
      </c>
      <c r="T371" s="283">
        <v>10000</v>
      </c>
      <c r="U371" s="283">
        <v>10000</v>
      </c>
      <c r="V371" s="283">
        <v>10000</v>
      </c>
      <c r="W371" s="283">
        <v>10000</v>
      </c>
      <c r="X371" s="283">
        <v>10000</v>
      </c>
      <c r="Y371" s="283">
        <v>10000</v>
      </c>
      <c r="Z371" s="497">
        <v>10000</v>
      </c>
      <c r="AA371" s="536">
        <v>10000</v>
      </c>
      <c r="AB371" s="2" t="s">
        <v>11</v>
      </c>
    </row>
    <row r="372" spans="1:46" s="2" customFormat="1" x14ac:dyDescent="0.25">
      <c r="B372" s="26"/>
      <c r="C372" s="306"/>
      <c r="D372" s="14"/>
      <c r="E372" s="24" t="s">
        <v>12</v>
      </c>
      <c r="F372" s="24"/>
      <c r="G372" s="15" t="s">
        <v>1254</v>
      </c>
      <c r="H372" s="15"/>
      <c r="I372" s="15"/>
      <c r="J372" s="17" t="s">
        <v>2</v>
      </c>
      <c r="K372" s="28">
        <v>89865</v>
      </c>
      <c r="L372" s="11">
        <v>6612.5</v>
      </c>
      <c r="M372" s="11">
        <v>5937.5</v>
      </c>
      <c r="N372" s="11">
        <f>2800+2600</f>
        <v>5400</v>
      </c>
      <c r="O372" s="11">
        <f>2600+2400</f>
        <v>5000</v>
      </c>
      <c r="P372" s="142">
        <f>2400+2200</f>
        <v>4600</v>
      </c>
      <c r="Q372" s="142">
        <f>2200+2000</f>
        <v>4200</v>
      </c>
      <c r="R372" s="142">
        <f>2000+1800</f>
        <v>3800</v>
      </c>
      <c r="S372" s="142">
        <f>1800+1600</f>
        <v>3400</v>
      </c>
      <c r="T372" s="142">
        <f>1600+1400</f>
        <v>3000</v>
      </c>
      <c r="U372" s="142">
        <f>1400+1200</f>
        <v>2600</v>
      </c>
      <c r="V372" s="142">
        <f>1200+1000</f>
        <v>2200</v>
      </c>
      <c r="W372" s="467">
        <v>1600</v>
      </c>
      <c r="X372" s="487">
        <f>800+600</f>
        <v>1400</v>
      </c>
      <c r="Y372" s="487">
        <f>600+400</f>
        <v>1000</v>
      </c>
      <c r="Z372" s="498">
        <f>400+200</f>
        <v>600</v>
      </c>
      <c r="AA372" s="537">
        <v>200</v>
      </c>
      <c r="AB372" s="17" t="s">
        <v>11</v>
      </c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</row>
    <row r="373" spans="1:46" s="6" customFormat="1" ht="13.8" thickBot="1" x14ac:dyDescent="0.3">
      <c r="A373" s="409" t="s">
        <v>1116</v>
      </c>
      <c r="B373" s="120"/>
      <c r="C373" s="307"/>
      <c r="D373" s="87"/>
      <c r="E373" s="88" t="s">
        <v>14</v>
      </c>
      <c r="F373" s="88" t="s">
        <v>406</v>
      </c>
      <c r="G373" s="126" t="s">
        <v>601</v>
      </c>
      <c r="H373" s="126"/>
      <c r="I373" s="126"/>
      <c r="J373" s="41" t="s">
        <v>6</v>
      </c>
      <c r="K373" s="42">
        <f>K372+K371</f>
        <v>321865</v>
      </c>
      <c r="L373" s="43">
        <f>L372+L371</f>
        <v>21612.5</v>
      </c>
      <c r="M373" s="43">
        <f t="shared" ref="M373:AA373" si="240">M372+M371</f>
        <v>20937.5</v>
      </c>
      <c r="N373" s="43">
        <f t="shared" si="240"/>
        <v>15400</v>
      </c>
      <c r="O373" s="43">
        <f t="shared" si="240"/>
        <v>15000</v>
      </c>
      <c r="P373" s="43">
        <f t="shared" si="240"/>
        <v>14600</v>
      </c>
      <c r="Q373" s="43">
        <f t="shared" si="240"/>
        <v>14200</v>
      </c>
      <c r="R373" s="43">
        <f t="shared" si="240"/>
        <v>13800</v>
      </c>
      <c r="S373" s="43">
        <f t="shared" si="240"/>
        <v>13400</v>
      </c>
      <c r="T373" s="43">
        <f t="shared" si="240"/>
        <v>13000</v>
      </c>
      <c r="U373" s="43">
        <f t="shared" si="240"/>
        <v>12600</v>
      </c>
      <c r="V373" s="43">
        <f t="shared" si="240"/>
        <v>12200</v>
      </c>
      <c r="W373" s="43">
        <f t="shared" si="240"/>
        <v>11600</v>
      </c>
      <c r="X373" s="43">
        <f>X372+X371</f>
        <v>11400</v>
      </c>
      <c r="Y373" s="43">
        <f t="shared" si="240"/>
        <v>11000</v>
      </c>
      <c r="Z373" s="499">
        <f t="shared" si="240"/>
        <v>10600</v>
      </c>
      <c r="AA373" s="538">
        <f t="shared" si="240"/>
        <v>10200</v>
      </c>
      <c r="AB373" s="41" t="s">
        <v>11</v>
      </c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</row>
    <row r="374" spans="1:46" s="2" customFormat="1" x14ac:dyDescent="0.25">
      <c r="A374" s="26" t="s">
        <v>0</v>
      </c>
      <c r="B374" s="26" t="s">
        <v>96</v>
      </c>
      <c r="C374" s="306"/>
      <c r="D374" s="14" t="s">
        <v>0</v>
      </c>
      <c r="E374" s="24">
        <v>39005</v>
      </c>
      <c r="F374" s="24" t="s">
        <v>266</v>
      </c>
      <c r="G374" s="315" t="s">
        <v>106</v>
      </c>
      <c r="H374" s="315"/>
      <c r="I374" s="315"/>
      <c r="J374" s="2" t="s">
        <v>1</v>
      </c>
      <c r="K374" s="27">
        <v>1222000</v>
      </c>
      <c r="L374" s="4">
        <v>60000</v>
      </c>
      <c r="M374" s="4">
        <v>60000</v>
      </c>
      <c r="N374" s="4">
        <v>60000</v>
      </c>
      <c r="O374" s="4">
        <v>60000</v>
      </c>
      <c r="P374" s="283">
        <v>60000</v>
      </c>
      <c r="Q374" s="283">
        <v>60000</v>
      </c>
      <c r="R374" s="283">
        <v>60000</v>
      </c>
      <c r="S374" s="283">
        <v>60000</v>
      </c>
      <c r="T374" s="283">
        <v>60000</v>
      </c>
      <c r="U374" s="283">
        <v>60000</v>
      </c>
      <c r="V374" s="283">
        <v>60000</v>
      </c>
      <c r="W374" s="283">
        <v>60000</v>
      </c>
      <c r="X374" s="283">
        <v>60000</v>
      </c>
      <c r="Y374" s="283">
        <v>60000</v>
      </c>
      <c r="Z374" s="497">
        <v>60000</v>
      </c>
      <c r="AA374" s="536">
        <v>60000</v>
      </c>
      <c r="AB374" s="2" t="s">
        <v>11</v>
      </c>
    </row>
    <row r="375" spans="1:46" s="2" customFormat="1" x14ac:dyDescent="0.25">
      <c r="A375" s="400"/>
      <c r="B375" s="26"/>
      <c r="C375" s="306"/>
      <c r="D375" s="14"/>
      <c r="E375" s="24" t="s">
        <v>12</v>
      </c>
      <c r="F375" s="24"/>
      <c r="G375" s="15" t="s">
        <v>1255</v>
      </c>
      <c r="H375" s="15"/>
      <c r="I375" s="15"/>
      <c r="J375" s="17" t="s">
        <v>2</v>
      </c>
      <c r="K375" s="28">
        <v>512640</v>
      </c>
      <c r="L375" s="11">
        <v>37650</v>
      </c>
      <c r="M375" s="11">
        <v>34950</v>
      </c>
      <c r="N375" s="11">
        <f>16800+15600</f>
        <v>32400</v>
      </c>
      <c r="O375" s="11">
        <f>15600+14400</f>
        <v>30000</v>
      </c>
      <c r="P375" s="142">
        <f>14400+13200</f>
        <v>27600</v>
      </c>
      <c r="Q375" s="142">
        <f>13200+12000</f>
        <v>25200</v>
      </c>
      <c r="R375" s="142">
        <f>12000+10800</f>
        <v>22800</v>
      </c>
      <c r="S375" s="142">
        <f>10800+9600</f>
        <v>20400</v>
      </c>
      <c r="T375" s="142">
        <f>9600+8400</f>
        <v>18000</v>
      </c>
      <c r="U375" s="142">
        <f>8400+7200</f>
        <v>15600</v>
      </c>
      <c r="V375" s="142">
        <f>7200+6000</f>
        <v>13200</v>
      </c>
      <c r="W375" s="467">
        <v>9600</v>
      </c>
      <c r="X375" s="142">
        <f>4800+3600</f>
        <v>8400</v>
      </c>
      <c r="Y375" s="142">
        <f>3600+2400</f>
        <v>6000</v>
      </c>
      <c r="Z375" s="500">
        <f>2400+1200</f>
        <v>3600</v>
      </c>
      <c r="AA375" s="539">
        <v>1200</v>
      </c>
      <c r="AB375" s="17" t="s">
        <v>11</v>
      </c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</row>
    <row r="376" spans="1:46" s="6" customFormat="1" ht="13.8" thickBot="1" x14ac:dyDescent="0.3">
      <c r="A376" s="409" t="s">
        <v>1116</v>
      </c>
      <c r="B376" s="120"/>
      <c r="C376" s="307"/>
      <c r="D376" s="87"/>
      <c r="E376" s="88" t="s">
        <v>14</v>
      </c>
      <c r="F376" s="88" t="s">
        <v>406</v>
      </c>
      <c r="G376" s="126" t="s">
        <v>602</v>
      </c>
      <c r="H376" s="126"/>
      <c r="I376" s="126"/>
      <c r="J376" s="41" t="s">
        <v>6</v>
      </c>
      <c r="K376" s="42">
        <f>K375+K374</f>
        <v>1734640</v>
      </c>
      <c r="L376" s="43">
        <f>L375+L374</f>
        <v>97650</v>
      </c>
      <c r="M376" s="43">
        <f t="shared" ref="M376:AA376" si="241">M375+M374</f>
        <v>94950</v>
      </c>
      <c r="N376" s="43">
        <f t="shared" si="241"/>
        <v>92400</v>
      </c>
      <c r="O376" s="43">
        <f t="shared" si="241"/>
        <v>90000</v>
      </c>
      <c r="P376" s="43">
        <f t="shared" si="241"/>
        <v>87600</v>
      </c>
      <c r="Q376" s="43">
        <f t="shared" si="241"/>
        <v>85200</v>
      </c>
      <c r="R376" s="43">
        <f t="shared" si="241"/>
        <v>82800</v>
      </c>
      <c r="S376" s="43">
        <f t="shared" si="241"/>
        <v>80400</v>
      </c>
      <c r="T376" s="43">
        <f t="shared" si="241"/>
        <v>78000</v>
      </c>
      <c r="U376" s="43">
        <f t="shared" si="241"/>
        <v>75600</v>
      </c>
      <c r="V376" s="43">
        <f t="shared" si="241"/>
        <v>73200</v>
      </c>
      <c r="W376" s="43">
        <f t="shared" si="241"/>
        <v>69600</v>
      </c>
      <c r="X376" s="43">
        <f t="shared" si="241"/>
        <v>68400</v>
      </c>
      <c r="Y376" s="43">
        <f t="shared" si="241"/>
        <v>66000</v>
      </c>
      <c r="Z376" s="499">
        <f t="shared" si="241"/>
        <v>63600</v>
      </c>
      <c r="AA376" s="538">
        <f t="shared" si="241"/>
        <v>61200</v>
      </c>
      <c r="AB376" s="41" t="s">
        <v>11</v>
      </c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</row>
    <row r="377" spans="1:46" s="2" customFormat="1" x14ac:dyDescent="0.25">
      <c r="A377" s="26" t="s">
        <v>0</v>
      </c>
      <c r="B377" s="26" t="s">
        <v>96</v>
      </c>
      <c r="C377" s="306"/>
      <c r="D377" s="14" t="s">
        <v>0</v>
      </c>
      <c r="E377" s="24">
        <v>39005</v>
      </c>
      <c r="F377" s="24" t="s">
        <v>266</v>
      </c>
      <c r="G377" s="15" t="s">
        <v>254</v>
      </c>
      <c r="H377" s="15">
        <v>60315099</v>
      </c>
      <c r="I377" s="15">
        <v>586000</v>
      </c>
      <c r="J377" s="2" t="s">
        <v>1</v>
      </c>
      <c r="K377" s="27">
        <v>87000</v>
      </c>
      <c r="L377" s="4">
        <v>10000</v>
      </c>
      <c r="M377" s="4">
        <v>10000</v>
      </c>
      <c r="N377" s="4">
        <v>10000</v>
      </c>
      <c r="O377" s="4">
        <v>5000</v>
      </c>
      <c r="P377" s="283">
        <v>5000</v>
      </c>
      <c r="Q377" s="283">
        <v>5000</v>
      </c>
      <c r="R377" s="367" t="s">
        <v>11</v>
      </c>
      <c r="S377" s="283"/>
      <c r="T377" s="283"/>
      <c r="U377" s="283"/>
      <c r="V377" s="283"/>
      <c r="W377" s="283"/>
      <c r="X377" s="283"/>
      <c r="Y377" s="283"/>
      <c r="Z377" s="497"/>
      <c r="AA377" s="536"/>
    </row>
    <row r="378" spans="1:46" s="2" customFormat="1" x14ac:dyDescent="0.25">
      <c r="A378" s="26"/>
      <c r="B378" s="26"/>
      <c r="C378" s="306"/>
      <c r="D378" s="14"/>
      <c r="E378" s="24" t="s">
        <v>12</v>
      </c>
      <c r="F378" s="24"/>
      <c r="G378" s="15" t="s">
        <v>294</v>
      </c>
      <c r="H378" s="15"/>
      <c r="I378" s="15"/>
      <c r="J378" s="17" t="s">
        <v>2</v>
      </c>
      <c r="K378" s="28">
        <v>17740</v>
      </c>
      <c r="L378" s="11">
        <v>1675</v>
      </c>
      <c r="M378" s="11">
        <v>1225</v>
      </c>
      <c r="N378" s="11">
        <f>500+300</f>
        <v>800</v>
      </c>
      <c r="O378" s="11">
        <f>300+200</f>
        <v>500</v>
      </c>
      <c r="P378" s="142">
        <f>200+100</f>
        <v>300</v>
      </c>
      <c r="Q378" s="142">
        <v>100</v>
      </c>
      <c r="R378" s="368" t="s">
        <v>11</v>
      </c>
      <c r="S378" s="142"/>
      <c r="T378" s="142"/>
      <c r="U378" s="142"/>
      <c r="V378" s="142"/>
      <c r="W378" s="142"/>
      <c r="X378" s="142"/>
      <c r="Y378" s="142"/>
      <c r="Z378" s="500"/>
      <c r="AA378" s="539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</row>
    <row r="379" spans="1:46" s="6" customFormat="1" ht="13.8" thickBot="1" x14ac:dyDescent="0.3">
      <c r="A379" s="120"/>
      <c r="B379" s="120"/>
      <c r="C379" s="307"/>
      <c r="D379" s="87"/>
      <c r="E379" s="88" t="s">
        <v>14</v>
      </c>
      <c r="F379" s="88" t="s">
        <v>410</v>
      </c>
      <c r="G379" s="126" t="s">
        <v>603</v>
      </c>
      <c r="H379" s="126"/>
      <c r="I379" s="126"/>
      <c r="J379" s="41" t="s">
        <v>6</v>
      </c>
      <c r="K379" s="42">
        <f>K378+K377</f>
        <v>104740</v>
      </c>
      <c r="L379" s="43">
        <f>L378+L377</f>
        <v>11675</v>
      </c>
      <c r="M379" s="43">
        <f t="shared" ref="M379:Q379" si="242">M378+M377</f>
        <v>11225</v>
      </c>
      <c r="N379" s="43">
        <f t="shared" si="242"/>
        <v>10800</v>
      </c>
      <c r="O379" s="43">
        <f t="shared" si="242"/>
        <v>5500</v>
      </c>
      <c r="P379" s="43">
        <f t="shared" si="242"/>
        <v>5300</v>
      </c>
      <c r="Q379" s="43">
        <f t="shared" si="242"/>
        <v>5100</v>
      </c>
      <c r="R379" s="41" t="s">
        <v>11</v>
      </c>
      <c r="S379" s="43"/>
      <c r="T379" s="43"/>
      <c r="U379" s="43"/>
      <c r="V379" s="43"/>
      <c r="W379" s="43"/>
      <c r="X379" s="43"/>
      <c r="Y379" s="43"/>
      <c r="Z379" s="499"/>
      <c r="AA379" s="538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</row>
    <row r="380" spans="1:46" s="2" customFormat="1" x14ac:dyDescent="0.25">
      <c r="A380" s="26" t="s">
        <v>0</v>
      </c>
      <c r="B380" s="26" t="s">
        <v>96</v>
      </c>
      <c r="C380" s="306"/>
      <c r="D380" s="14" t="s">
        <v>0</v>
      </c>
      <c r="E380" s="24">
        <v>39005</v>
      </c>
      <c r="F380" s="24" t="s">
        <v>266</v>
      </c>
      <c r="G380" s="15" t="s">
        <v>290</v>
      </c>
      <c r="H380" s="15">
        <v>60315095</v>
      </c>
      <c r="I380" s="15">
        <v>583000</v>
      </c>
      <c r="J380" s="2" t="s">
        <v>1</v>
      </c>
      <c r="K380" s="27">
        <v>132500</v>
      </c>
      <c r="L380" s="4">
        <v>15000</v>
      </c>
      <c r="M380" s="4">
        <v>15000</v>
      </c>
      <c r="N380" s="4">
        <v>10000</v>
      </c>
      <c r="O380" s="4">
        <v>10000</v>
      </c>
      <c r="P380" s="283">
        <v>10000</v>
      </c>
      <c r="Q380" s="283">
        <v>10000</v>
      </c>
      <c r="R380" s="367" t="s">
        <v>11</v>
      </c>
      <c r="S380" s="283"/>
      <c r="T380" s="283"/>
      <c r="U380" s="283"/>
      <c r="V380" s="283"/>
      <c r="W380" s="283"/>
      <c r="Z380" s="490"/>
      <c r="AA380" s="60"/>
    </row>
    <row r="381" spans="1:46" s="2" customFormat="1" x14ac:dyDescent="0.25">
      <c r="A381" s="26"/>
      <c r="B381" s="26"/>
      <c r="C381" s="306"/>
      <c r="D381" s="14"/>
      <c r="E381" s="24" t="s">
        <v>12</v>
      </c>
      <c r="F381" s="24"/>
      <c r="G381" s="15" t="s">
        <v>604</v>
      </c>
      <c r="H381" s="15"/>
      <c r="I381" s="15"/>
      <c r="J381" s="17" t="s">
        <v>2</v>
      </c>
      <c r="K381" s="28">
        <v>27887.5</v>
      </c>
      <c r="L381" s="11">
        <v>2612.5</v>
      </c>
      <c r="M381" s="11">
        <v>1937.5</v>
      </c>
      <c r="N381" s="11">
        <f>800+600</f>
        <v>1400</v>
      </c>
      <c r="O381" s="11">
        <f>600+400</f>
        <v>1000</v>
      </c>
      <c r="P381" s="142">
        <f>400+200</f>
        <v>600</v>
      </c>
      <c r="Q381" s="142">
        <v>200</v>
      </c>
      <c r="R381" s="368" t="s">
        <v>11</v>
      </c>
      <c r="S381" s="142"/>
      <c r="T381" s="142"/>
      <c r="U381" s="142"/>
      <c r="V381" s="142"/>
      <c r="W381" s="142"/>
      <c r="X381" s="17"/>
      <c r="Y381" s="17"/>
      <c r="Z381" s="491"/>
      <c r="AA381" s="532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</row>
    <row r="382" spans="1:46" s="6" customFormat="1" ht="13.8" thickBot="1" x14ac:dyDescent="0.3">
      <c r="A382" s="440" t="s">
        <v>621</v>
      </c>
      <c r="B382" s="120"/>
      <c r="C382" s="307"/>
      <c r="D382" s="87"/>
      <c r="E382" s="88" t="s">
        <v>14</v>
      </c>
      <c r="F382" s="88" t="s">
        <v>410</v>
      </c>
      <c r="G382" s="126" t="s">
        <v>706</v>
      </c>
      <c r="H382" s="126"/>
      <c r="I382" s="126"/>
      <c r="J382" s="41" t="s">
        <v>6</v>
      </c>
      <c r="K382" s="42">
        <f>K381+K380</f>
        <v>160387.5</v>
      </c>
      <c r="L382" s="43">
        <f>L381+L380</f>
        <v>17612.5</v>
      </c>
      <c r="M382" s="43">
        <f t="shared" ref="M382:P382" si="243">M381+M380</f>
        <v>16937.5</v>
      </c>
      <c r="N382" s="43">
        <f t="shared" si="243"/>
        <v>11400</v>
      </c>
      <c r="O382" s="43">
        <f t="shared" si="243"/>
        <v>11000</v>
      </c>
      <c r="P382" s="43">
        <f t="shared" si="243"/>
        <v>10600</v>
      </c>
      <c r="Q382" s="43">
        <f>Q381+Q380</f>
        <v>10200</v>
      </c>
      <c r="R382" s="41" t="s">
        <v>11</v>
      </c>
      <c r="S382" s="43"/>
      <c r="T382" s="43"/>
      <c r="U382" s="43"/>
      <c r="V382" s="43"/>
      <c r="W382" s="43"/>
      <c r="X382" s="41"/>
      <c r="Y382" s="41"/>
      <c r="Z382" s="492"/>
      <c r="AA382" s="533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</row>
    <row r="383" spans="1:46" s="2" customFormat="1" x14ac:dyDescent="0.25">
      <c r="A383" s="26" t="s">
        <v>0</v>
      </c>
      <c r="B383" s="26" t="s">
        <v>96</v>
      </c>
      <c r="C383" s="306"/>
      <c r="D383" s="14" t="s">
        <v>0</v>
      </c>
      <c r="E383" s="24">
        <v>39005</v>
      </c>
      <c r="F383" s="24" t="s">
        <v>266</v>
      </c>
      <c r="G383" s="15" t="s">
        <v>291</v>
      </c>
      <c r="H383" s="15"/>
      <c r="I383" s="15"/>
      <c r="J383" s="2" t="s">
        <v>1</v>
      </c>
      <c r="K383" s="27">
        <v>54695</v>
      </c>
      <c r="L383" s="4">
        <v>5000</v>
      </c>
      <c r="M383" s="4">
        <v>5000</v>
      </c>
      <c r="N383" s="4">
        <v>5000</v>
      </c>
      <c r="O383" s="4">
        <v>5000</v>
      </c>
      <c r="P383" s="283">
        <v>5000</v>
      </c>
      <c r="Q383" s="283">
        <v>5000</v>
      </c>
      <c r="R383" s="367" t="s">
        <v>11</v>
      </c>
      <c r="S383" s="283"/>
      <c r="T383" s="283"/>
      <c r="U383" s="283"/>
      <c r="V383" s="283"/>
      <c r="W383" s="283"/>
      <c r="Z383" s="490"/>
      <c r="AA383" s="60"/>
    </row>
    <row r="384" spans="1:46" s="2" customFormat="1" x14ac:dyDescent="0.25">
      <c r="A384" s="26"/>
      <c r="B384" s="26"/>
      <c r="C384" s="306" t="s">
        <v>292</v>
      </c>
      <c r="D384" s="14"/>
      <c r="E384" s="24" t="s">
        <v>12</v>
      </c>
      <c r="F384" s="24"/>
      <c r="G384" s="15" t="s">
        <v>420</v>
      </c>
      <c r="H384" s="15"/>
      <c r="I384" s="15"/>
      <c r="J384" s="17" t="s">
        <v>2</v>
      </c>
      <c r="K384" s="28">
        <v>11736.27</v>
      </c>
      <c r="L384" s="11">
        <v>1137.5</v>
      </c>
      <c r="M384" s="11">
        <v>912.5</v>
      </c>
      <c r="N384" s="11">
        <f>400+300</f>
        <v>700</v>
      </c>
      <c r="O384" s="11">
        <f>300+200</f>
        <v>500</v>
      </c>
      <c r="P384" s="142">
        <f>200+100</f>
        <v>300</v>
      </c>
      <c r="Q384" s="142">
        <v>100</v>
      </c>
      <c r="R384" s="368" t="s">
        <v>11</v>
      </c>
      <c r="S384" s="142"/>
      <c r="T384" s="142"/>
      <c r="U384" s="142"/>
      <c r="V384" s="142"/>
      <c r="W384" s="142"/>
      <c r="X384" s="17"/>
      <c r="Y384" s="17"/>
      <c r="Z384" s="491"/>
      <c r="AA384" s="532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</row>
    <row r="385" spans="1:46" s="6" customFormat="1" ht="13.8" thickBot="1" x14ac:dyDescent="0.3">
      <c r="A385" s="440" t="s">
        <v>621</v>
      </c>
      <c r="B385" s="120"/>
      <c r="C385" s="307"/>
      <c r="D385" s="87"/>
      <c r="E385" s="88" t="s">
        <v>14</v>
      </c>
      <c r="F385" s="88" t="s">
        <v>410</v>
      </c>
      <c r="G385" s="126" t="s">
        <v>707</v>
      </c>
      <c r="H385" s="126"/>
      <c r="I385" s="126"/>
      <c r="J385" s="41" t="s">
        <v>6</v>
      </c>
      <c r="K385" s="42">
        <f>K384+K383</f>
        <v>66431.27</v>
      </c>
      <c r="L385" s="43">
        <f>L384+L383</f>
        <v>6137.5</v>
      </c>
      <c r="M385" s="43">
        <f t="shared" ref="M385:P385" si="244">M384+M383</f>
        <v>5912.5</v>
      </c>
      <c r="N385" s="43">
        <f t="shared" si="244"/>
        <v>5700</v>
      </c>
      <c r="O385" s="43">
        <f t="shared" si="244"/>
        <v>5500</v>
      </c>
      <c r="P385" s="43">
        <f t="shared" si="244"/>
        <v>5300</v>
      </c>
      <c r="Q385" s="43">
        <f>Q384+Q383</f>
        <v>5100</v>
      </c>
      <c r="R385" s="41" t="s">
        <v>11</v>
      </c>
      <c r="S385" s="43"/>
      <c r="T385" s="43"/>
      <c r="U385" s="43"/>
      <c r="V385" s="43"/>
      <c r="W385" s="43"/>
      <c r="X385" s="41"/>
      <c r="Y385" s="41"/>
      <c r="Z385" s="492"/>
      <c r="AA385" s="533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</row>
    <row r="386" spans="1:46" s="2" customFormat="1" x14ac:dyDescent="0.25">
      <c r="A386" s="26" t="s">
        <v>0</v>
      </c>
      <c r="B386" s="26" t="s">
        <v>96</v>
      </c>
      <c r="C386" s="306"/>
      <c r="D386" s="14" t="s">
        <v>0</v>
      </c>
      <c r="E386" s="24">
        <v>39005</v>
      </c>
      <c r="F386" s="24" t="s">
        <v>266</v>
      </c>
      <c r="G386" s="15" t="s">
        <v>293</v>
      </c>
      <c r="H386" s="15">
        <v>60316110</v>
      </c>
      <c r="I386" s="15">
        <v>583000</v>
      </c>
      <c r="J386" s="2" t="s">
        <v>1</v>
      </c>
      <c r="K386" s="27">
        <v>76040</v>
      </c>
      <c r="L386" s="4">
        <v>10000</v>
      </c>
      <c r="M386" s="4">
        <v>5000</v>
      </c>
      <c r="N386" s="4">
        <v>5000</v>
      </c>
      <c r="O386" s="4">
        <v>5000</v>
      </c>
      <c r="P386" s="283">
        <v>5000</v>
      </c>
      <c r="Q386" s="283">
        <v>5000</v>
      </c>
      <c r="R386" s="367" t="s">
        <v>11</v>
      </c>
      <c r="S386" s="283"/>
      <c r="T386" s="283"/>
      <c r="U386" s="283"/>
      <c r="V386" s="283"/>
      <c r="W386" s="283"/>
      <c r="Z386" s="490"/>
      <c r="AA386" s="60"/>
    </row>
    <row r="387" spans="1:46" s="2" customFormat="1" x14ac:dyDescent="0.25">
      <c r="A387" s="26"/>
      <c r="B387" s="26"/>
      <c r="C387" s="306"/>
      <c r="D387" s="14"/>
      <c r="E387" s="24" t="s">
        <v>12</v>
      </c>
      <c r="F387" s="24"/>
      <c r="G387" s="15" t="s">
        <v>348</v>
      </c>
      <c r="H387" s="15"/>
      <c r="I387" s="15"/>
      <c r="J387" s="17" t="s">
        <v>2</v>
      </c>
      <c r="K387" s="28">
        <v>14946.8</v>
      </c>
      <c r="L387" s="11">
        <v>1250</v>
      </c>
      <c r="M387" s="11">
        <v>912.5</v>
      </c>
      <c r="N387" s="11">
        <f>400+300</f>
        <v>700</v>
      </c>
      <c r="O387" s="11">
        <f>300+200</f>
        <v>500</v>
      </c>
      <c r="P387" s="142">
        <f>200+100</f>
        <v>300</v>
      </c>
      <c r="Q387" s="142">
        <v>100</v>
      </c>
      <c r="R387" s="368" t="s">
        <v>11</v>
      </c>
      <c r="S387" s="142"/>
      <c r="T387" s="142"/>
      <c r="U387" s="142"/>
      <c r="V387" s="142"/>
      <c r="W387" s="142"/>
      <c r="X387" s="17"/>
      <c r="Y387" s="17"/>
      <c r="Z387" s="491"/>
      <c r="AA387" s="532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</row>
    <row r="388" spans="1:46" s="6" customFormat="1" ht="13.8" thickBot="1" x14ac:dyDescent="0.3">
      <c r="A388" s="440" t="s">
        <v>621</v>
      </c>
      <c r="B388" s="120"/>
      <c r="C388" s="307"/>
      <c r="D388" s="87"/>
      <c r="E388" s="88" t="s">
        <v>14</v>
      </c>
      <c r="F388" s="88" t="s">
        <v>410</v>
      </c>
      <c r="G388" s="126" t="s">
        <v>708</v>
      </c>
      <c r="H388" s="126"/>
      <c r="I388" s="126"/>
      <c r="J388" s="41" t="s">
        <v>6</v>
      </c>
      <c r="K388" s="42">
        <f>K387+K386</f>
        <v>90986.8</v>
      </c>
      <c r="L388" s="43">
        <f>L387+L386</f>
        <v>11250</v>
      </c>
      <c r="M388" s="43">
        <f t="shared" ref="M388:P388" si="245">M387+M386</f>
        <v>5912.5</v>
      </c>
      <c r="N388" s="43">
        <f t="shared" si="245"/>
        <v>5700</v>
      </c>
      <c r="O388" s="43">
        <f t="shared" si="245"/>
        <v>5500</v>
      </c>
      <c r="P388" s="43">
        <f t="shared" si="245"/>
        <v>5300</v>
      </c>
      <c r="Q388" s="43">
        <f>Q387+Q386</f>
        <v>5100</v>
      </c>
      <c r="R388" s="41" t="s">
        <v>11</v>
      </c>
      <c r="S388" s="43"/>
      <c r="T388" s="43"/>
      <c r="U388" s="43"/>
      <c r="V388" s="43"/>
      <c r="W388" s="43"/>
      <c r="X388" s="41"/>
      <c r="Y388" s="41"/>
      <c r="Z388" s="492"/>
      <c r="AA388" s="533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</row>
    <row r="389" spans="1:46" s="2" customFormat="1" x14ac:dyDescent="0.25">
      <c r="A389" s="26"/>
      <c r="B389" s="26"/>
      <c r="C389" s="306"/>
      <c r="D389" s="14"/>
      <c r="E389" s="24"/>
      <c r="F389" s="24"/>
      <c r="G389" s="13" t="s">
        <v>33</v>
      </c>
      <c r="H389" s="13">
        <v>60772319</v>
      </c>
      <c r="I389" s="13">
        <v>591100</v>
      </c>
      <c r="J389" s="14" t="s">
        <v>1</v>
      </c>
      <c r="K389" s="29">
        <f t="shared" ref="K389:Q389" si="246">K386+K383+K380+K377+K374+K371</f>
        <v>1804235</v>
      </c>
      <c r="L389" s="7">
        <f t="shared" si="246"/>
        <v>115000</v>
      </c>
      <c r="M389" s="7">
        <f t="shared" si="246"/>
        <v>110000</v>
      </c>
      <c r="N389" s="7">
        <f t="shared" si="246"/>
        <v>100000</v>
      </c>
      <c r="O389" s="7">
        <f t="shared" si="246"/>
        <v>95000</v>
      </c>
      <c r="P389" s="7">
        <f t="shared" si="246"/>
        <v>95000</v>
      </c>
      <c r="Q389" s="7">
        <f t="shared" si="246"/>
        <v>95000</v>
      </c>
      <c r="R389" s="7">
        <f>R374+R371</f>
        <v>70000</v>
      </c>
      <c r="S389" s="7">
        <f t="shared" ref="S389:AA389" si="247">S374+S371</f>
        <v>70000</v>
      </c>
      <c r="T389" s="7">
        <f t="shared" si="247"/>
        <v>70000</v>
      </c>
      <c r="U389" s="7">
        <f t="shared" si="247"/>
        <v>70000</v>
      </c>
      <c r="V389" s="7">
        <f t="shared" si="247"/>
        <v>70000</v>
      </c>
      <c r="W389" s="7">
        <f t="shared" si="247"/>
        <v>70000</v>
      </c>
      <c r="X389" s="7">
        <f t="shared" si="247"/>
        <v>70000</v>
      </c>
      <c r="Y389" s="7">
        <f t="shared" si="247"/>
        <v>70000</v>
      </c>
      <c r="Z389" s="501">
        <f t="shared" si="247"/>
        <v>70000</v>
      </c>
      <c r="AA389" s="540">
        <f t="shared" si="247"/>
        <v>70000</v>
      </c>
      <c r="AB389" s="40" t="s">
        <v>11</v>
      </c>
    </row>
    <row r="390" spans="1:46" s="2" customFormat="1" x14ac:dyDescent="0.25">
      <c r="A390" s="26"/>
      <c r="B390" s="26"/>
      <c r="C390" s="306"/>
      <c r="D390" s="14"/>
      <c r="E390" s="24"/>
      <c r="F390" s="24"/>
      <c r="G390" s="15"/>
      <c r="H390" s="13">
        <v>60772319</v>
      </c>
      <c r="I390" s="153">
        <v>595100</v>
      </c>
      <c r="J390" s="18" t="s">
        <v>2</v>
      </c>
      <c r="K390" s="30">
        <f>K387+K384+K381+K378+K375+K372+0.01</f>
        <v>674815.58000000007</v>
      </c>
      <c r="L390" s="16">
        <f t="shared" ref="L390:Q390" si="248">L387+L384+L381+L378+L375+L372</f>
        <v>50937.5</v>
      </c>
      <c r="M390" s="16">
        <f t="shared" si="248"/>
        <v>45875</v>
      </c>
      <c r="N390" s="16">
        <f t="shared" si="248"/>
        <v>41400</v>
      </c>
      <c r="O390" s="16">
        <f t="shared" si="248"/>
        <v>37500</v>
      </c>
      <c r="P390" s="16">
        <f t="shared" si="248"/>
        <v>33700</v>
      </c>
      <c r="Q390" s="16">
        <f t="shared" si="248"/>
        <v>29900</v>
      </c>
      <c r="R390" s="16">
        <f>R375+R372</f>
        <v>26600</v>
      </c>
      <c r="S390" s="16">
        <f t="shared" ref="S390:Z390" si="249">S375+S372</f>
        <v>23800</v>
      </c>
      <c r="T390" s="16">
        <f t="shared" si="249"/>
        <v>21000</v>
      </c>
      <c r="U390" s="16">
        <f t="shared" si="249"/>
        <v>18200</v>
      </c>
      <c r="V390" s="16">
        <f t="shared" si="249"/>
        <v>15400</v>
      </c>
      <c r="W390" s="16">
        <f t="shared" si="249"/>
        <v>11200</v>
      </c>
      <c r="X390" s="16">
        <f t="shared" si="249"/>
        <v>9800</v>
      </c>
      <c r="Y390" s="16">
        <f t="shared" si="249"/>
        <v>7000</v>
      </c>
      <c r="Z390" s="502">
        <f t="shared" si="249"/>
        <v>4200</v>
      </c>
      <c r="AA390" s="541">
        <v>1400</v>
      </c>
      <c r="AB390" s="56" t="s">
        <v>11</v>
      </c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</row>
    <row r="391" spans="1:46" s="8" customFormat="1" ht="13.8" thickBot="1" x14ac:dyDescent="0.3">
      <c r="A391" s="122"/>
      <c r="B391" s="122"/>
      <c r="C391" s="307"/>
      <c r="D391" s="87"/>
      <c r="E391" s="87"/>
      <c r="F391" s="87"/>
      <c r="G391" s="87"/>
      <c r="H391" s="87"/>
      <c r="I391" s="87"/>
      <c r="J391" s="50" t="s">
        <v>5</v>
      </c>
      <c r="K391" s="51">
        <f>K390+K389</f>
        <v>2479050.58</v>
      </c>
      <c r="L391" s="46">
        <f>L390+L389</f>
        <v>165937.5</v>
      </c>
      <c r="M391" s="46">
        <f t="shared" ref="M391:AA391" si="250">M390+M389</f>
        <v>155875</v>
      </c>
      <c r="N391" s="46">
        <f t="shared" si="250"/>
        <v>141400</v>
      </c>
      <c r="O391" s="46">
        <f t="shared" si="250"/>
        <v>132500</v>
      </c>
      <c r="P391" s="46">
        <f t="shared" si="250"/>
        <v>128700</v>
      </c>
      <c r="Q391" s="46">
        <f t="shared" si="250"/>
        <v>124900</v>
      </c>
      <c r="R391" s="46">
        <f t="shared" si="250"/>
        <v>96600</v>
      </c>
      <c r="S391" s="46">
        <f t="shared" si="250"/>
        <v>93800</v>
      </c>
      <c r="T391" s="46">
        <f t="shared" si="250"/>
        <v>91000</v>
      </c>
      <c r="U391" s="46">
        <f t="shared" si="250"/>
        <v>88200</v>
      </c>
      <c r="V391" s="46">
        <f t="shared" si="250"/>
        <v>85400</v>
      </c>
      <c r="W391" s="46">
        <f t="shared" si="250"/>
        <v>81200</v>
      </c>
      <c r="X391" s="46">
        <f t="shared" si="250"/>
        <v>79800</v>
      </c>
      <c r="Y391" s="46">
        <f t="shared" si="250"/>
        <v>77000</v>
      </c>
      <c r="Z391" s="503">
        <f t="shared" si="250"/>
        <v>74200</v>
      </c>
      <c r="AA391" s="542">
        <f t="shared" si="250"/>
        <v>71400</v>
      </c>
      <c r="AB391" s="47" t="s">
        <v>11</v>
      </c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</row>
    <row r="392" spans="1:46" s="6" customFormat="1" x14ac:dyDescent="0.25">
      <c r="A392" s="26" t="s">
        <v>4</v>
      </c>
      <c r="B392" s="26" t="s">
        <v>97</v>
      </c>
      <c r="C392" s="306"/>
      <c r="D392" s="10" t="s">
        <v>4</v>
      </c>
      <c r="E392" s="25">
        <v>39005</v>
      </c>
      <c r="F392" s="25" t="s">
        <v>267</v>
      </c>
      <c r="G392" s="316" t="s">
        <v>107</v>
      </c>
      <c r="H392" s="316"/>
      <c r="I392" s="316"/>
      <c r="J392" s="2" t="s">
        <v>1</v>
      </c>
      <c r="K392" s="27">
        <v>487000</v>
      </c>
      <c r="L392" s="4">
        <v>25000</v>
      </c>
      <c r="M392" s="4">
        <v>25000</v>
      </c>
      <c r="N392" s="4">
        <v>25000</v>
      </c>
      <c r="O392" s="4">
        <v>25000</v>
      </c>
      <c r="P392" s="4">
        <v>25000</v>
      </c>
      <c r="Q392" s="4">
        <v>25000</v>
      </c>
      <c r="R392" s="4">
        <v>25000</v>
      </c>
      <c r="S392" s="4">
        <v>25000</v>
      </c>
      <c r="T392" s="4">
        <v>25000</v>
      </c>
      <c r="U392" s="4">
        <v>25000</v>
      </c>
      <c r="V392" s="4">
        <v>25000</v>
      </c>
      <c r="W392" s="4">
        <v>25000</v>
      </c>
      <c r="X392" s="4">
        <v>25000</v>
      </c>
      <c r="Y392" s="4">
        <v>20000</v>
      </c>
      <c r="Z392" s="504">
        <v>20000</v>
      </c>
      <c r="AA392" s="543">
        <v>20000</v>
      </c>
      <c r="AB392" s="2" t="s">
        <v>11</v>
      </c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1:46" s="6" customFormat="1" x14ac:dyDescent="0.25">
      <c r="A393" s="400" t="s">
        <v>946</v>
      </c>
      <c r="B393" s="26"/>
      <c r="C393" s="306"/>
      <c r="D393" s="84"/>
      <c r="E393" s="317" t="s">
        <v>13</v>
      </c>
      <c r="F393" s="25"/>
      <c r="G393" s="12" t="s">
        <v>1253</v>
      </c>
      <c r="H393" s="12"/>
      <c r="I393" s="12"/>
      <c r="J393" s="17" t="s">
        <v>2</v>
      </c>
      <c r="K393" s="28">
        <v>201315</v>
      </c>
      <c r="L393" s="11">
        <v>15087.5</v>
      </c>
      <c r="M393" s="11">
        <v>13962.5</v>
      </c>
      <c r="N393" s="11">
        <f>6700+6200</f>
        <v>12900</v>
      </c>
      <c r="O393" s="11">
        <f>6200+5700</f>
        <v>11900</v>
      </c>
      <c r="P393" s="142">
        <f>5700+5200</f>
        <v>10900</v>
      </c>
      <c r="Q393" s="142">
        <f>5200+4700</f>
        <v>9900</v>
      </c>
      <c r="R393" s="142">
        <f>4700+4200</f>
        <v>8900</v>
      </c>
      <c r="S393" s="142">
        <f>4200+3700</f>
        <v>7900</v>
      </c>
      <c r="T393" s="142">
        <f>3700+3200</f>
        <v>6900</v>
      </c>
      <c r="U393" s="11">
        <f>3200+2700</f>
        <v>5900</v>
      </c>
      <c r="V393" s="11">
        <f>2700+2200</f>
        <v>4900</v>
      </c>
      <c r="W393" s="479">
        <v>3400</v>
      </c>
      <c r="X393" s="11">
        <f>1700+1200</f>
        <v>2900</v>
      </c>
      <c r="Y393" s="11">
        <f>1200+800</f>
        <v>2000</v>
      </c>
      <c r="Z393" s="505">
        <f>800+400</f>
        <v>1200</v>
      </c>
      <c r="AA393" s="544">
        <v>400</v>
      </c>
      <c r="AB393" s="17" t="s">
        <v>11</v>
      </c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</row>
    <row r="394" spans="1:46" s="6" customFormat="1" ht="13.8" thickBot="1" x14ac:dyDescent="0.3">
      <c r="A394" s="409" t="s">
        <v>1116</v>
      </c>
      <c r="B394" s="120"/>
      <c r="C394" s="307"/>
      <c r="D394" s="89"/>
      <c r="E394" s="90" t="s">
        <v>16</v>
      </c>
      <c r="F394" s="90" t="s">
        <v>407</v>
      </c>
      <c r="G394" s="124" t="s">
        <v>448</v>
      </c>
      <c r="H394" s="124"/>
      <c r="I394" s="124"/>
      <c r="J394" s="41" t="s">
        <v>6</v>
      </c>
      <c r="K394" s="42">
        <f>K393+K392</f>
        <v>688315</v>
      </c>
      <c r="L394" s="43">
        <f>L393+L392</f>
        <v>40087.5</v>
      </c>
      <c r="M394" s="43">
        <f t="shared" ref="M394:N394" si="251">M393+M392</f>
        <v>38962.5</v>
      </c>
      <c r="N394" s="43">
        <f t="shared" si="251"/>
        <v>37900</v>
      </c>
      <c r="O394" s="43">
        <f>O393+O392</f>
        <v>36900</v>
      </c>
      <c r="P394" s="43">
        <f>P393+P392</f>
        <v>35900</v>
      </c>
      <c r="Q394" s="43">
        <f>Q393+Q392</f>
        <v>34900</v>
      </c>
      <c r="R394" s="43">
        <f t="shared" ref="R394:AA394" si="252">R393+R392</f>
        <v>33900</v>
      </c>
      <c r="S394" s="43">
        <f t="shared" si="252"/>
        <v>32900</v>
      </c>
      <c r="T394" s="43">
        <f t="shared" si="252"/>
        <v>31900</v>
      </c>
      <c r="U394" s="43">
        <f t="shared" si="252"/>
        <v>30900</v>
      </c>
      <c r="V394" s="43">
        <f t="shared" si="252"/>
        <v>29900</v>
      </c>
      <c r="W394" s="43">
        <f t="shared" si="252"/>
        <v>28400</v>
      </c>
      <c r="X394" s="43">
        <f t="shared" si="252"/>
        <v>27900</v>
      </c>
      <c r="Y394" s="43">
        <f t="shared" si="252"/>
        <v>22000</v>
      </c>
      <c r="Z394" s="499">
        <f t="shared" si="252"/>
        <v>21200</v>
      </c>
      <c r="AA394" s="538">
        <f t="shared" si="252"/>
        <v>20400</v>
      </c>
      <c r="AB394" s="41" t="s">
        <v>11</v>
      </c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</row>
    <row r="395" spans="1:46" s="8" customFormat="1" x14ac:dyDescent="0.25">
      <c r="A395" s="121"/>
      <c r="B395" s="121"/>
      <c r="C395" s="306"/>
      <c r="D395" s="55"/>
      <c r="E395" s="55"/>
      <c r="F395" s="55"/>
      <c r="G395" s="9" t="s">
        <v>7</v>
      </c>
      <c r="H395" s="9">
        <v>61772319</v>
      </c>
      <c r="I395" s="9">
        <v>591100</v>
      </c>
      <c r="J395" s="10" t="s">
        <v>1</v>
      </c>
      <c r="K395" s="31">
        <f>K392</f>
        <v>487000</v>
      </c>
      <c r="L395" s="7">
        <f>L392</f>
        <v>25000</v>
      </c>
      <c r="M395" s="7">
        <f t="shared" ref="M395:AA395" si="253">M392</f>
        <v>25000</v>
      </c>
      <c r="N395" s="7">
        <f t="shared" si="253"/>
        <v>25000</v>
      </c>
      <c r="O395" s="7">
        <f t="shared" si="253"/>
        <v>25000</v>
      </c>
      <c r="P395" s="7">
        <f t="shared" si="253"/>
        <v>25000</v>
      </c>
      <c r="Q395" s="7">
        <f t="shared" si="253"/>
        <v>25000</v>
      </c>
      <c r="R395" s="7">
        <f t="shared" si="253"/>
        <v>25000</v>
      </c>
      <c r="S395" s="7">
        <f t="shared" si="253"/>
        <v>25000</v>
      </c>
      <c r="T395" s="7">
        <f t="shared" si="253"/>
        <v>25000</v>
      </c>
      <c r="U395" s="7">
        <f t="shared" si="253"/>
        <v>25000</v>
      </c>
      <c r="V395" s="7">
        <f t="shared" si="253"/>
        <v>25000</v>
      </c>
      <c r="W395" s="7">
        <f t="shared" si="253"/>
        <v>25000</v>
      </c>
      <c r="X395" s="7">
        <f t="shared" si="253"/>
        <v>25000</v>
      </c>
      <c r="Y395" s="7">
        <f t="shared" si="253"/>
        <v>20000</v>
      </c>
      <c r="Z395" s="501">
        <f t="shared" si="253"/>
        <v>20000</v>
      </c>
      <c r="AA395" s="540">
        <f t="shared" si="253"/>
        <v>20000</v>
      </c>
      <c r="AB395" s="3" t="s">
        <v>11</v>
      </c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 s="8" customFormat="1" x14ac:dyDescent="0.25">
      <c r="A396" s="121"/>
      <c r="B396" s="121"/>
      <c r="C396" s="306"/>
      <c r="D396" s="10"/>
      <c r="E396" s="10"/>
      <c r="F396" s="10"/>
      <c r="G396" s="10"/>
      <c r="H396" s="10">
        <v>61772319</v>
      </c>
      <c r="I396" s="10">
        <v>595100</v>
      </c>
      <c r="J396" s="19" t="s">
        <v>2</v>
      </c>
      <c r="K396" s="32">
        <f>K393</f>
        <v>201315</v>
      </c>
      <c r="L396" s="16">
        <f>L393</f>
        <v>15087.5</v>
      </c>
      <c r="M396" s="16">
        <f t="shared" ref="M396:AA396" si="254">M393</f>
        <v>13962.5</v>
      </c>
      <c r="N396" s="16">
        <f t="shared" si="254"/>
        <v>12900</v>
      </c>
      <c r="O396" s="16">
        <f t="shared" si="254"/>
        <v>11900</v>
      </c>
      <c r="P396" s="16">
        <f t="shared" si="254"/>
        <v>10900</v>
      </c>
      <c r="Q396" s="16">
        <f t="shared" si="254"/>
        <v>9900</v>
      </c>
      <c r="R396" s="16">
        <f t="shared" si="254"/>
        <v>8900</v>
      </c>
      <c r="S396" s="16">
        <f t="shared" si="254"/>
        <v>7900</v>
      </c>
      <c r="T396" s="16">
        <f t="shared" si="254"/>
        <v>6900</v>
      </c>
      <c r="U396" s="16">
        <f t="shared" si="254"/>
        <v>5900</v>
      </c>
      <c r="V396" s="16">
        <f t="shared" si="254"/>
        <v>4900</v>
      </c>
      <c r="W396" s="16">
        <f t="shared" si="254"/>
        <v>3400</v>
      </c>
      <c r="X396" s="16">
        <f t="shared" si="254"/>
        <v>2900</v>
      </c>
      <c r="Y396" s="16">
        <f t="shared" si="254"/>
        <v>2000</v>
      </c>
      <c r="Z396" s="502">
        <f t="shared" si="254"/>
        <v>1200</v>
      </c>
      <c r="AA396" s="541">
        <f t="shared" si="254"/>
        <v>400</v>
      </c>
      <c r="AB396" s="20" t="s">
        <v>11</v>
      </c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</row>
    <row r="397" spans="1:46" s="8" customFormat="1" ht="13.8" thickBot="1" x14ac:dyDescent="0.3">
      <c r="A397" s="122"/>
      <c r="B397" s="122"/>
      <c r="C397" s="307"/>
      <c r="D397" s="91"/>
      <c r="E397" s="91"/>
      <c r="F397" s="91"/>
      <c r="G397" s="91"/>
      <c r="H397" s="91"/>
      <c r="I397" s="91"/>
      <c r="J397" s="52" t="s">
        <v>5</v>
      </c>
      <c r="K397" s="53">
        <f>K396+K395</f>
        <v>688315</v>
      </c>
      <c r="L397" s="46">
        <f>L396+L395</f>
        <v>40087.5</v>
      </c>
      <c r="M397" s="46">
        <f>M396+M395</f>
        <v>38962.5</v>
      </c>
      <c r="N397" s="46">
        <f t="shared" ref="N397:AA397" si="255">N396+N395</f>
        <v>37900</v>
      </c>
      <c r="O397" s="46">
        <f t="shared" si="255"/>
        <v>36900</v>
      </c>
      <c r="P397" s="46">
        <f t="shared" si="255"/>
        <v>35900</v>
      </c>
      <c r="Q397" s="46">
        <f t="shared" si="255"/>
        <v>34900</v>
      </c>
      <c r="R397" s="46">
        <f t="shared" si="255"/>
        <v>33900</v>
      </c>
      <c r="S397" s="46">
        <f t="shared" si="255"/>
        <v>32900</v>
      </c>
      <c r="T397" s="46">
        <f t="shared" si="255"/>
        <v>31900</v>
      </c>
      <c r="U397" s="46">
        <f t="shared" si="255"/>
        <v>30900</v>
      </c>
      <c r="V397" s="46">
        <f t="shared" si="255"/>
        <v>29900</v>
      </c>
      <c r="W397" s="46">
        <f t="shared" si="255"/>
        <v>28400</v>
      </c>
      <c r="X397" s="46">
        <f t="shared" si="255"/>
        <v>27900</v>
      </c>
      <c r="Y397" s="46">
        <f t="shared" si="255"/>
        <v>22000</v>
      </c>
      <c r="Z397" s="503">
        <f t="shared" si="255"/>
        <v>21200</v>
      </c>
      <c r="AA397" s="542">
        <f t="shared" si="255"/>
        <v>20400</v>
      </c>
      <c r="AB397" s="47" t="s">
        <v>11</v>
      </c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</row>
    <row r="398" spans="1:46" s="3" customFormat="1" x14ac:dyDescent="0.25">
      <c r="A398" s="121"/>
      <c r="B398" s="121"/>
      <c r="C398" s="306"/>
      <c r="D398" s="102"/>
      <c r="E398" s="102"/>
      <c r="F398" s="102"/>
      <c r="G398" s="103" t="s">
        <v>518</v>
      </c>
      <c r="H398" s="103"/>
      <c r="I398" s="103"/>
      <c r="J398" s="104" t="s">
        <v>1</v>
      </c>
      <c r="K398" s="105">
        <f t="shared" ref="K398:Q399" si="256">K395+K389+K368</f>
        <v>3950000</v>
      </c>
      <c r="L398" s="7">
        <f t="shared" si="256"/>
        <v>330000</v>
      </c>
      <c r="M398" s="7">
        <f t="shared" si="256"/>
        <v>250000</v>
      </c>
      <c r="N398" s="7">
        <f t="shared" si="256"/>
        <v>235000</v>
      </c>
      <c r="O398" s="7">
        <f t="shared" si="256"/>
        <v>175000</v>
      </c>
      <c r="P398" s="7">
        <f t="shared" si="256"/>
        <v>165000</v>
      </c>
      <c r="Q398" s="7">
        <f t="shared" si="256"/>
        <v>165000</v>
      </c>
      <c r="R398" s="7">
        <f>R395+R389</f>
        <v>95000</v>
      </c>
      <c r="S398" s="7">
        <f t="shared" ref="S398:AA398" si="257">S395+S389</f>
        <v>95000</v>
      </c>
      <c r="T398" s="7">
        <f t="shared" si="257"/>
        <v>95000</v>
      </c>
      <c r="U398" s="7">
        <f t="shared" si="257"/>
        <v>95000</v>
      </c>
      <c r="V398" s="7">
        <f t="shared" si="257"/>
        <v>95000</v>
      </c>
      <c r="W398" s="7">
        <f t="shared" si="257"/>
        <v>95000</v>
      </c>
      <c r="X398" s="7">
        <f t="shared" si="257"/>
        <v>95000</v>
      </c>
      <c r="Y398" s="7">
        <f t="shared" si="257"/>
        <v>90000</v>
      </c>
      <c r="Z398" s="501">
        <f t="shared" si="257"/>
        <v>90000</v>
      </c>
      <c r="AA398" s="540">
        <f t="shared" si="257"/>
        <v>90000</v>
      </c>
      <c r="AB398" s="3" t="s">
        <v>11</v>
      </c>
      <c r="AD398" s="7"/>
      <c r="AI398" s="7"/>
      <c r="AN398" s="7"/>
    </row>
    <row r="399" spans="1:46" s="3" customFormat="1" ht="13.8" thickBot="1" x14ac:dyDescent="0.3">
      <c r="A399" s="121"/>
      <c r="B399" s="121"/>
      <c r="C399" s="306"/>
      <c r="D399" s="104"/>
      <c r="E399" s="104"/>
      <c r="F399" s="104"/>
      <c r="G399" s="103"/>
      <c r="H399" s="103"/>
      <c r="I399" s="103"/>
      <c r="J399" s="106" t="s">
        <v>2</v>
      </c>
      <c r="K399" s="107">
        <f t="shared" si="256"/>
        <v>1151500</v>
      </c>
      <c r="L399" s="22">
        <f t="shared" si="256"/>
        <v>85675</v>
      </c>
      <c r="M399" s="22">
        <f t="shared" si="256"/>
        <v>72625</v>
      </c>
      <c r="N399" s="22">
        <f t="shared" si="256"/>
        <v>62300</v>
      </c>
      <c r="O399" s="22">
        <f t="shared" si="256"/>
        <v>54100</v>
      </c>
      <c r="P399" s="22">
        <f t="shared" si="256"/>
        <v>47300</v>
      </c>
      <c r="Q399" s="22">
        <f t="shared" si="256"/>
        <v>40700</v>
      </c>
      <c r="R399" s="22">
        <f>R396+R390</f>
        <v>35500</v>
      </c>
      <c r="S399" s="22">
        <f t="shared" ref="S399:AA399" si="258">S396+S390</f>
        <v>31700</v>
      </c>
      <c r="T399" s="22">
        <f t="shared" si="258"/>
        <v>27900</v>
      </c>
      <c r="U399" s="22">
        <f t="shared" si="258"/>
        <v>24100</v>
      </c>
      <c r="V399" s="22">
        <f t="shared" si="258"/>
        <v>20300</v>
      </c>
      <c r="W399" s="22">
        <f t="shared" si="258"/>
        <v>14600</v>
      </c>
      <c r="X399" s="22">
        <f t="shared" si="258"/>
        <v>12700</v>
      </c>
      <c r="Y399" s="22">
        <f t="shared" si="258"/>
        <v>9000</v>
      </c>
      <c r="Z399" s="506">
        <f t="shared" si="258"/>
        <v>5400</v>
      </c>
      <c r="AA399" s="545">
        <f t="shared" si="258"/>
        <v>1800</v>
      </c>
      <c r="AB399" s="23" t="s">
        <v>11</v>
      </c>
      <c r="AC399" s="23"/>
      <c r="AD399" s="22"/>
      <c r="AE399" s="23"/>
      <c r="AF399" s="23"/>
      <c r="AG399" s="23"/>
      <c r="AH399" s="23"/>
      <c r="AI399" s="22"/>
      <c r="AJ399" s="23"/>
      <c r="AK399" s="23"/>
      <c r="AL399" s="23"/>
      <c r="AM399" s="23"/>
      <c r="AN399" s="22"/>
      <c r="AO399" s="23"/>
      <c r="AP399" s="23"/>
      <c r="AQ399" s="23"/>
      <c r="AR399" s="23"/>
      <c r="AS399" s="23"/>
      <c r="AT399" s="23"/>
    </row>
    <row r="400" spans="1:46" s="6" customFormat="1" x14ac:dyDescent="0.25">
      <c r="A400" s="26"/>
      <c r="B400" s="26"/>
      <c r="C400" s="306"/>
      <c r="D400" s="108"/>
      <c r="E400" s="108"/>
      <c r="F400" s="108"/>
      <c r="G400" s="118"/>
      <c r="H400" s="118"/>
      <c r="I400" s="118"/>
      <c r="J400" s="109" t="s">
        <v>5</v>
      </c>
      <c r="K400" s="110">
        <f>K399+K398</f>
        <v>5101500</v>
      </c>
      <c r="L400" s="67">
        <f>L399+L398</f>
        <v>415675</v>
      </c>
      <c r="M400" s="67">
        <f t="shared" ref="M400:AA400" si="259">M399+M398</f>
        <v>322625</v>
      </c>
      <c r="N400" s="67">
        <f t="shared" si="259"/>
        <v>297300</v>
      </c>
      <c r="O400" s="67">
        <f t="shared" si="259"/>
        <v>229100</v>
      </c>
      <c r="P400" s="67">
        <f t="shared" si="259"/>
        <v>212300</v>
      </c>
      <c r="Q400" s="67">
        <f t="shared" si="259"/>
        <v>205700</v>
      </c>
      <c r="R400" s="67">
        <f t="shared" si="259"/>
        <v>130500</v>
      </c>
      <c r="S400" s="67">
        <f t="shared" si="259"/>
        <v>126700</v>
      </c>
      <c r="T400" s="67">
        <f t="shared" si="259"/>
        <v>122900</v>
      </c>
      <c r="U400" s="67">
        <f t="shared" si="259"/>
        <v>119100</v>
      </c>
      <c r="V400" s="67">
        <f t="shared" si="259"/>
        <v>115300</v>
      </c>
      <c r="W400" s="67">
        <f t="shared" si="259"/>
        <v>109600</v>
      </c>
      <c r="X400" s="67">
        <f t="shared" si="259"/>
        <v>107700</v>
      </c>
      <c r="Y400" s="67">
        <f t="shared" si="259"/>
        <v>99000</v>
      </c>
      <c r="Z400" s="507">
        <f t="shared" si="259"/>
        <v>95400</v>
      </c>
      <c r="AA400" s="546">
        <f t="shared" si="259"/>
        <v>91800</v>
      </c>
      <c r="AB400" s="69" t="s">
        <v>11</v>
      </c>
      <c r="AC400" s="69"/>
      <c r="AD400" s="67"/>
      <c r="AE400" s="69"/>
      <c r="AF400" s="69"/>
      <c r="AG400" s="69"/>
      <c r="AH400" s="69"/>
      <c r="AI400" s="67"/>
      <c r="AJ400" s="69"/>
      <c r="AK400" s="69"/>
      <c r="AL400" s="69"/>
      <c r="AM400" s="69"/>
      <c r="AN400" s="67"/>
      <c r="AO400" s="69"/>
      <c r="AP400" s="69"/>
      <c r="AQ400" s="69"/>
      <c r="AR400" s="69"/>
      <c r="AS400" s="69"/>
      <c r="AT400" s="69"/>
    </row>
    <row r="401" spans="1:46" s="2" customFormat="1" x14ac:dyDescent="0.25">
      <c r="A401" s="119"/>
      <c r="B401" s="119"/>
      <c r="C401" s="308"/>
      <c r="D401" s="49"/>
      <c r="E401" s="49"/>
      <c r="F401" s="49"/>
      <c r="G401" s="129" t="s">
        <v>108</v>
      </c>
      <c r="H401" s="129"/>
      <c r="I401" s="129"/>
      <c r="J401" s="48"/>
      <c r="K401" s="96"/>
      <c r="L401" s="97"/>
      <c r="M401" s="97"/>
      <c r="N401" s="97"/>
      <c r="O401" s="97"/>
      <c r="P401" s="98"/>
      <c r="Q401" s="98"/>
      <c r="R401" s="98"/>
      <c r="S401" s="98"/>
      <c r="T401" s="9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</row>
    <row r="402" spans="1:46" s="2" customFormat="1" x14ac:dyDescent="0.25">
      <c r="A402" s="26"/>
      <c r="B402" s="26" t="s">
        <v>96</v>
      </c>
      <c r="C402" s="306"/>
      <c r="D402" s="33" t="s">
        <v>3</v>
      </c>
      <c r="E402" s="34">
        <v>39370</v>
      </c>
      <c r="F402" s="34" t="s">
        <v>269</v>
      </c>
      <c r="G402" s="35" t="s">
        <v>304</v>
      </c>
      <c r="H402" s="35">
        <v>31422158</v>
      </c>
      <c r="I402" s="35">
        <v>584013</v>
      </c>
      <c r="J402" s="2" t="s">
        <v>1</v>
      </c>
      <c r="K402" s="27">
        <v>25000</v>
      </c>
      <c r="L402" s="4">
        <v>5000</v>
      </c>
      <c r="M402" s="4">
        <v>5000</v>
      </c>
      <c r="N402" s="2" t="s">
        <v>11</v>
      </c>
      <c r="O402" s="4"/>
      <c r="P402" s="283"/>
      <c r="Q402" s="283"/>
      <c r="R402" s="283"/>
      <c r="S402" s="283"/>
      <c r="T402" s="283"/>
      <c r="Z402" s="490"/>
      <c r="AA402" s="60"/>
    </row>
    <row r="403" spans="1:46" s="2" customFormat="1" x14ac:dyDescent="0.25">
      <c r="A403" s="26"/>
      <c r="B403" s="26"/>
      <c r="C403" s="306"/>
      <c r="D403" s="33"/>
      <c r="E403" s="34" t="s">
        <v>12</v>
      </c>
      <c r="F403" s="34"/>
      <c r="G403" s="35" t="s">
        <v>391</v>
      </c>
      <c r="H403" s="35"/>
      <c r="I403" s="35"/>
      <c r="J403" s="17" t="s">
        <v>2</v>
      </c>
      <c r="K403" s="28">
        <v>3043.75</v>
      </c>
      <c r="L403" s="11">
        <v>293.75</v>
      </c>
      <c r="M403" s="11">
        <v>96.87</v>
      </c>
      <c r="N403" s="17" t="s">
        <v>11</v>
      </c>
      <c r="O403" s="11"/>
      <c r="P403" s="142"/>
      <c r="Q403" s="142"/>
      <c r="R403" s="142"/>
      <c r="S403" s="142"/>
      <c r="T403" s="142"/>
      <c r="U403" s="17"/>
      <c r="V403" s="17"/>
      <c r="W403" s="17"/>
      <c r="X403" s="17"/>
      <c r="Y403" s="17"/>
      <c r="Z403" s="491"/>
      <c r="AA403" s="532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</row>
    <row r="404" spans="1:46" s="6" customFormat="1" ht="13.8" thickBot="1" x14ac:dyDescent="0.3">
      <c r="A404" s="120"/>
      <c r="B404" s="120"/>
      <c r="C404" s="307"/>
      <c r="D404" s="85"/>
      <c r="E404" s="86" t="s">
        <v>160</v>
      </c>
      <c r="F404" s="86" t="s">
        <v>410</v>
      </c>
      <c r="G404" s="141"/>
      <c r="H404" s="141"/>
      <c r="I404" s="141"/>
      <c r="J404" s="41" t="s">
        <v>6</v>
      </c>
      <c r="K404" s="42">
        <f>K403+K402</f>
        <v>28043.75</v>
      </c>
      <c r="L404" s="43">
        <f>L403+L402</f>
        <v>5293.75</v>
      </c>
      <c r="M404" s="43">
        <f>M403+M402</f>
        <v>5096.87</v>
      </c>
      <c r="N404" s="41" t="s">
        <v>11</v>
      </c>
      <c r="O404" s="43"/>
      <c r="P404" s="43"/>
      <c r="Q404" s="43"/>
      <c r="R404" s="43"/>
      <c r="S404" s="43"/>
      <c r="T404" s="43"/>
      <c r="U404" s="41"/>
      <c r="V404" s="41"/>
      <c r="W404" s="41"/>
      <c r="X404" s="41"/>
      <c r="Y404" s="41"/>
      <c r="Z404" s="492"/>
      <c r="AA404" s="533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</row>
    <row r="405" spans="1:46" s="2" customFormat="1" x14ac:dyDescent="0.25">
      <c r="A405" s="26" t="s">
        <v>95</v>
      </c>
      <c r="B405" s="26" t="s">
        <v>96</v>
      </c>
      <c r="C405" s="306"/>
      <c r="D405" s="33" t="s">
        <v>3</v>
      </c>
      <c r="E405" s="34">
        <v>39370</v>
      </c>
      <c r="F405" s="34" t="s">
        <v>269</v>
      </c>
      <c r="G405" s="318" t="s">
        <v>115</v>
      </c>
      <c r="H405" s="318">
        <v>31139152</v>
      </c>
      <c r="I405" s="318">
        <v>582015</v>
      </c>
      <c r="J405" s="2" t="s">
        <v>1</v>
      </c>
      <c r="K405" s="27">
        <v>278000</v>
      </c>
      <c r="L405" s="4">
        <v>15000</v>
      </c>
      <c r="M405" s="4">
        <v>15000</v>
      </c>
      <c r="N405" s="4">
        <v>15000</v>
      </c>
      <c r="O405" s="4">
        <v>15000</v>
      </c>
      <c r="P405" s="4">
        <v>15000</v>
      </c>
      <c r="Q405" s="4">
        <v>15000</v>
      </c>
      <c r="R405" s="4">
        <v>15000</v>
      </c>
      <c r="S405" s="4">
        <v>15000</v>
      </c>
      <c r="T405" s="4">
        <v>15000</v>
      </c>
      <c r="U405" s="4">
        <v>15000</v>
      </c>
      <c r="V405" s="4">
        <v>15000</v>
      </c>
      <c r="W405" s="4">
        <v>15000</v>
      </c>
      <c r="X405" s="4">
        <v>15000</v>
      </c>
      <c r="Y405" s="4">
        <v>15000</v>
      </c>
      <c r="Z405" s="504">
        <v>10000</v>
      </c>
      <c r="AA405" s="543">
        <v>10000</v>
      </c>
      <c r="AB405" s="2" t="s">
        <v>11</v>
      </c>
    </row>
    <row r="406" spans="1:46" s="2" customFormat="1" x14ac:dyDescent="0.25">
      <c r="A406" s="400" t="s">
        <v>947</v>
      </c>
      <c r="B406" s="26"/>
      <c r="C406" s="306"/>
      <c r="D406" s="33"/>
      <c r="E406" s="34" t="s">
        <v>12</v>
      </c>
      <c r="F406" s="34"/>
      <c r="G406" s="35" t="s">
        <v>553</v>
      </c>
      <c r="H406" s="35"/>
      <c r="I406" s="35"/>
      <c r="J406" s="17" t="s">
        <v>2</v>
      </c>
      <c r="K406" s="28">
        <v>112728.75</v>
      </c>
      <c r="L406" s="11">
        <v>9431.25</v>
      </c>
      <c r="M406" s="11">
        <v>8840.6200000000008</v>
      </c>
      <c r="N406" s="11">
        <f>4275+3984.38</f>
        <v>8259.380000000001</v>
      </c>
      <c r="O406" s="11">
        <f>3984.37+3693.75</f>
        <v>7678.12</v>
      </c>
      <c r="P406" s="142">
        <f>3693.75+3318.75</f>
        <v>7012.5</v>
      </c>
      <c r="Q406" s="142">
        <f>3318.75+2943.75</f>
        <v>6262.5</v>
      </c>
      <c r="R406" s="142">
        <f>2943.75+2568.75</f>
        <v>5512.5</v>
      </c>
      <c r="S406" s="142">
        <f>2568.75+2261.25</f>
        <v>4830</v>
      </c>
      <c r="T406" s="142">
        <f>2261.25+1953.75</f>
        <v>4215</v>
      </c>
      <c r="U406" s="142">
        <f>1953.75+1646.25</f>
        <v>3600</v>
      </c>
      <c r="V406" s="142">
        <f>1646.25+1338.75</f>
        <v>2985</v>
      </c>
      <c r="W406" s="142">
        <f>1338.75+1031.25</f>
        <v>2370</v>
      </c>
      <c r="X406" s="142">
        <f>1031.25+721.88</f>
        <v>1753.13</v>
      </c>
      <c r="Y406" s="142">
        <f>721.87+412.5</f>
        <v>1134.3699999999999</v>
      </c>
      <c r="Z406" s="500">
        <f>412.5+206.25</f>
        <v>618.75</v>
      </c>
      <c r="AA406" s="539">
        <v>206.25</v>
      </c>
      <c r="AB406" s="17" t="s">
        <v>11</v>
      </c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</row>
    <row r="407" spans="1:46" s="6" customFormat="1" ht="13.8" thickBot="1" x14ac:dyDescent="0.3">
      <c r="A407" s="409" t="s">
        <v>1118</v>
      </c>
      <c r="B407" s="120"/>
      <c r="C407" s="307"/>
      <c r="D407" s="85"/>
      <c r="E407" s="86" t="s">
        <v>161</v>
      </c>
      <c r="F407" s="86" t="s">
        <v>408</v>
      </c>
      <c r="G407" s="125" t="s">
        <v>554</v>
      </c>
      <c r="H407" s="125"/>
      <c r="I407" s="125"/>
      <c r="J407" s="41" t="s">
        <v>6</v>
      </c>
      <c r="K407" s="42">
        <f t="shared" ref="K407:AA407" si="260">K406+K405</f>
        <v>390728.75</v>
      </c>
      <c r="L407" s="43">
        <f t="shared" si="260"/>
        <v>24431.25</v>
      </c>
      <c r="M407" s="43">
        <f t="shared" si="260"/>
        <v>23840.620000000003</v>
      </c>
      <c r="N407" s="43">
        <f t="shared" si="260"/>
        <v>23259.38</v>
      </c>
      <c r="O407" s="43">
        <f t="shared" si="260"/>
        <v>22678.12</v>
      </c>
      <c r="P407" s="43">
        <f t="shared" si="260"/>
        <v>22012.5</v>
      </c>
      <c r="Q407" s="43">
        <f t="shared" si="260"/>
        <v>21262.5</v>
      </c>
      <c r="R407" s="43">
        <f t="shared" si="260"/>
        <v>20512.5</v>
      </c>
      <c r="S407" s="43">
        <f t="shared" si="260"/>
        <v>19830</v>
      </c>
      <c r="T407" s="43">
        <f t="shared" si="260"/>
        <v>19215</v>
      </c>
      <c r="U407" s="43">
        <f t="shared" si="260"/>
        <v>18600</v>
      </c>
      <c r="V407" s="43">
        <f t="shared" si="260"/>
        <v>17985</v>
      </c>
      <c r="W407" s="43">
        <f t="shared" si="260"/>
        <v>17370</v>
      </c>
      <c r="X407" s="43">
        <f t="shared" si="260"/>
        <v>16753.13</v>
      </c>
      <c r="Y407" s="43">
        <f t="shared" si="260"/>
        <v>16134.369999999999</v>
      </c>
      <c r="Z407" s="499">
        <f t="shared" si="260"/>
        <v>10618.75</v>
      </c>
      <c r="AA407" s="538">
        <f t="shared" si="260"/>
        <v>10206.25</v>
      </c>
      <c r="AB407" s="41" t="s">
        <v>11</v>
      </c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</row>
    <row r="408" spans="1:46" s="2" customFormat="1" ht="12.75" customHeight="1" x14ac:dyDescent="0.25">
      <c r="A408" s="26"/>
      <c r="B408" s="26" t="s">
        <v>96</v>
      </c>
      <c r="C408" s="306"/>
      <c r="D408" s="33" t="s">
        <v>3</v>
      </c>
      <c r="E408" s="34">
        <v>39370</v>
      </c>
      <c r="F408" s="34" t="s">
        <v>269</v>
      </c>
      <c r="G408" s="35" t="s">
        <v>162</v>
      </c>
      <c r="H408" s="35">
        <v>31139151</v>
      </c>
      <c r="I408" s="35">
        <v>582014</v>
      </c>
      <c r="J408" s="2" t="s">
        <v>1</v>
      </c>
      <c r="K408" s="27">
        <v>50000</v>
      </c>
      <c r="L408" s="4">
        <v>10000</v>
      </c>
      <c r="M408" s="4">
        <v>10000</v>
      </c>
      <c r="N408" s="2" t="s">
        <v>11</v>
      </c>
      <c r="O408" s="4"/>
      <c r="P408" s="283"/>
      <c r="Q408" s="283"/>
      <c r="R408" s="283"/>
      <c r="S408" s="283"/>
      <c r="T408" s="283"/>
      <c r="Z408" s="490"/>
      <c r="AA408" s="60"/>
    </row>
    <row r="409" spans="1:46" s="2" customFormat="1" ht="12.75" customHeight="1" x14ac:dyDescent="0.25">
      <c r="A409" s="26"/>
      <c r="B409" s="26"/>
      <c r="C409" s="306"/>
      <c r="D409" s="33"/>
      <c r="E409" s="34" t="s">
        <v>12</v>
      </c>
      <c r="F409" s="34"/>
      <c r="G409" s="35" t="s">
        <v>425</v>
      </c>
      <c r="H409" s="35"/>
      <c r="I409" s="35"/>
      <c r="J409" s="17" t="s">
        <v>2</v>
      </c>
      <c r="K409" s="28">
        <v>6087.5</v>
      </c>
      <c r="L409" s="11">
        <v>587.5</v>
      </c>
      <c r="M409" s="11">
        <v>193.75</v>
      </c>
      <c r="N409" s="17" t="s">
        <v>11</v>
      </c>
      <c r="O409" s="11"/>
      <c r="P409" s="142"/>
      <c r="Q409" s="142"/>
      <c r="R409" s="142"/>
      <c r="S409" s="142"/>
      <c r="T409" s="142"/>
      <c r="U409" s="17"/>
      <c r="V409" s="17"/>
      <c r="W409" s="17"/>
      <c r="X409" s="17"/>
      <c r="Y409" s="17"/>
      <c r="Z409" s="491"/>
      <c r="AA409" s="532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</row>
    <row r="410" spans="1:46" s="6" customFormat="1" ht="13.5" customHeight="1" thickBot="1" x14ac:dyDescent="0.3">
      <c r="A410" s="120"/>
      <c r="B410" s="120"/>
      <c r="C410" s="307"/>
      <c r="D410" s="85"/>
      <c r="E410" s="86" t="s">
        <v>161</v>
      </c>
      <c r="F410" s="86" t="s">
        <v>410</v>
      </c>
      <c r="G410" s="145" t="s">
        <v>614</v>
      </c>
      <c r="H410" s="145"/>
      <c r="I410" s="145"/>
      <c r="J410" s="41" t="s">
        <v>6</v>
      </c>
      <c r="K410" s="42">
        <f>K409+K408</f>
        <v>56087.5</v>
      </c>
      <c r="L410" s="43">
        <f>L409+L408</f>
        <v>10587.5</v>
      </c>
      <c r="M410" s="43">
        <f>M409+M408</f>
        <v>10193.75</v>
      </c>
      <c r="N410" s="41" t="s">
        <v>11</v>
      </c>
      <c r="O410" s="43"/>
      <c r="P410" s="43"/>
      <c r="Q410" s="43"/>
      <c r="R410" s="43"/>
      <c r="S410" s="43"/>
      <c r="T410" s="43"/>
      <c r="U410" s="41"/>
      <c r="V410" s="41"/>
      <c r="W410" s="41"/>
      <c r="X410" s="41"/>
      <c r="Y410" s="41"/>
      <c r="Z410" s="492"/>
      <c r="AA410" s="533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</row>
    <row r="411" spans="1:46" s="2" customFormat="1" ht="12.75" customHeight="1" x14ac:dyDescent="0.25">
      <c r="A411" s="26"/>
      <c r="B411" s="26" t="s">
        <v>96</v>
      </c>
      <c r="C411" s="306"/>
      <c r="D411" s="33" t="s">
        <v>3</v>
      </c>
      <c r="E411" s="34">
        <v>39370</v>
      </c>
      <c r="F411" s="34" t="s">
        <v>269</v>
      </c>
      <c r="G411" s="35" t="s">
        <v>116</v>
      </c>
      <c r="H411" s="35"/>
      <c r="I411" s="35"/>
      <c r="J411" s="2" t="s">
        <v>1</v>
      </c>
      <c r="K411" s="27">
        <v>52500</v>
      </c>
      <c r="L411" s="4">
        <v>10000</v>
      </c>
      <c r="M411" s="4">
        <v>10000</v>
      </c>
      <c r="N411" s="2" t="s">
        <v>11</v>
      </c>
      <c r="O411" s="4"/>
      <c r="P411" s="283"/>
      <c r="Q411" s="283"/>
      <c r="R411" s="283"/>
      <c r="S411" s="283"/>
      <c r="T411" s="283"/>
      <c r="Z411" s="490"/>
      <c r="AA411" s="60"/>
    </row>
    <row r="412" spans="1:46" s="2" customFormat="1" ht="12.75" customHeight="1" x14ac:dyDescent="0.25">
      <c r="A412" s="26"/>
      <c r="B412" s="26"/>
      <c r="C412" s="306"/>
      <c r="D412" s="33"/>
      <c r="E412" s="34" t="s">
        <v>12</v>
      </c>
      <c r="F412" s="34"/>
      <c r="G412" s="35" t="s">
        <v>220</v>
      </c>
      <c r="H412" s="35"/>
      <c r="I412" s="35"/>
      <c r="J412" s="17" t="s">
        <v>2</v>
      </c>
      <c r="K412" s="28">
        <v>6200</v>
      </c>
      <c r="L412" s="11">
        <v>587.5</v>
      </c>
      <c r="M412" s="11">
        <v>193.75</v>
      </c>
      <c r="N412" s="17" t="s">
        <v>11</v>
      </c>
      <c r="O412" s="11"/>
      <c r="P412" s="142"/>
      <c r="Q412" s="142"/>
      <c r="R412" s="142"/>
      <c r="S412" s="142"/>
      <c r="T412" s="142"/>
      <c r="U412" s="17"/>
      <c r="V412" s="17"/>
      <c r="W412" s="17"/>
      <c r="X412" s="17"/>
      <c r="Y412" s="17"/>
      <c r="Z412" s="491"/>
      <c r="AA412" s="532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</row>
    <row r="413" spans="1:46" s="6" customFormat="1" ht="13.5" customHeight="1" thickBot="1" x14ac:dyDescent="0.3">
      <c r="A413" s="120"/>
      <c r="B413" s="120"/>
      <c r="C413" s="307"/>
      <c r="D413" s="85"/>
      <c r="E413" s="86" t="s">
        <v>161</v>
      </c>
      <c r="F413" s="86" t="s">
        <v>410</v>
      </c>
      <c r="G413" s="125"/>
      <c r="H413" s="125"/>
      <c r="I413" s="125"/>
      <c r="J413" s="41" t="s">
        <v>6</v>
      </c>
      <c r="K413" s="42">
        <f>K412+K411</f>
        <v>58700</v>
      </c>
      <c r="L413" s="43">
        <f>L412+L411</f>
        <v>10587.5</v>
      </c>
      <c r="M413" s="43">
        <f t="shared" ref="M413" si="261">M412+M411</f>
        <v>10193.75</v>
      </c>
      <c r="N413" s="41" t="s">
        <v>11</v>
      </c>
      <c r="O413" s="43"/>
      <c r="P413" s="43"/>
      <c r="Q413" s="43"/>
      <c r="R413" s="43"/>
      <c r="S413" s="43"/>
      <c r="T413" s="43"/>
      <c r="U413" s="41"/>
      <c r="V413" s="41"/>
      <c r="W413" s="41"/>
      <c r="X413" s="41"/>
      <c r="Y413" s="41"/>
      <c r="Z413" s="492"/>
      <c r="AA413" s="533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</row>
    <row r="414" spans="1:46" s="2" customFormat="1" ht="12.75" customHeight="1" x14ac:dyDescent="0.25">
      <c r="A414" s="26"/>
      <c r="B414" s="26" t="s">
        <v>96</v>
      </c>
      <c r="C414" s="306"/>
      <c r="D414" s="33" t="s">
        <v>3</v>
      </c>
      <c r="E414" s="34">
        <v>39370</v>
      </c>
      <c r="F414" s="34" t="s">
        <v>269</v>
      </c>
      <c r="G414" s="35" t="s">
        <v>109</v>
      </c>
      <c r="H414" s="35">
        <v>31139490</v>
      </c>
      <c r="I414" s="35">
        <v>586207</v>
      </c>
      <c r="J414" s="2" t="s">
        <v>1</v>
      </c>
      <c r="K414" s="27">
        <v>75000</v>
      </c>
      <c r="L414" s="4">
        <v>15000</v>
      </c>
      <c r="M414" s="4">
        <v>15000</v>
      </c>
      <c r="N414" s="2" t="s">
        <v>11</v>
      </c>
      <c r="O414" s="4"/>
      <c r="P414" s="283"/>
      <c r="Q414" s="283"/>
      <c r="R414" s="283"/>
      <c r="S414" s="283"/>
      <c r="T414" s="283"/>
      <c r="U414" s="283"/>
      <c r="Z414" s="490"/>
      <c r="AA414" s="60"/>
    </row>
    <row r="415" spans="1:46" s="2" customFormat="1" ht="12.75" customHeight="1" x14ac:dyDescent="0.25">
      <c r="A415" s="26"/>
      <c r="B415" s="26"/>
      <c r="C415" s="306"/>
      <c r="D415" s="33"/>
      <c r="E415" s="34" t="s">
        <v>12</v>
      </c>
      <c r="F415" s="34"/>
      <c r="G415" s="35" t="s">
        <v>552</v>
      </c>
      <c r="H415" s="35"/>
      <c r="I415" s="35"/>
      <c r="J415" s="17" t="s">
        <v>2</v>
      </c>
      <c r="K415" s="28">
        <v>9131.25</v>
      </c>
      <c r="L415" s="11">
        <v>881.25</v>
      </c>
      <c r="M415" s="11">
        <v>290.62</v>
      </c>
      <c r="N415" s="17" t="s">
        <v>11</v>
      </c>
      <c r="O415" s="11"/>
      <c r="P415" s="142"/>
      <c r="Q415" s="142"/>
      <c r="R415" s="142"/>
      <c r="S415" s="142"/>
      <c r="T415" s="142"/>
      <c r="U415" s="142"/>
      <c r="V415" s="17"/>
      <c r="W415" s="17"/>
      <c r="X415" s="17"/>
      <c r="Y415" s="17"/>
      <c r="Z415" s="491"/>
      <c r="AA415" s="532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</row>
    <row r="416" spans="1:46" s="6" customFormat="1" ht="13.5" customHeight="1" thickBot="1" x14ac:dyDescent="0.3">
      <c r="A416" s="120"/>
      <c r="B416" s="120"/>
      <c r="C416" s="307"/>
      <c r="D416" s="85"/>
      <c r="E416" s="86" t="s">
        <v>161</v>
      </c>
      <c r="F416" s="86" t="s">
        <v>410</v>
      </c>
      <c r="G416" s="125" t="s">
        <v>551</v>
      </c>
      <c r="H416" s="125"/>
      <c r="I416" s="125"/>
      <c r="J416" s="41" t="s">
        <v>6</v>
      </c>
      <c r="K416" s="42">
        <f>K415+K414</f>
        <v>84131.25</v>
      </c>
      <c r="L416" s="43">
        <f>L415+L414</f>
        <v>15881.25</v>
      </c>
      <c r="M416" s="43">
        <f t="shared" ref="M416" si="262">M415+M414</f>
        <v>15290.62</v>
      </c>
      <c r="N416" s="41" t="s">
        <v>11</v>
      </c>
      <c r="O416" s="43"/>
      <c r="P416" s="43"/>
      <c r="Q416" s="43"/>
      <c r="R416" s="43"/>
      <c r="S416" s="43"/>
      <c r="T416" s="43"/>
      <c r="U416" s="43"/>
      <c r="V416" s="41"/>
      <c r="W416" s="41"/>
      <c r="X416" s="41"/>
      <c r="Y416" s="41"/>
      <c r="Z416" s="492"/>
      <c r="AA416" s="533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</row>
    <row r="417" spans="1:46" s="2" customFormat="1" ht="12.75" customHeight="1" x14ac:dyDescent="0.25">
      <c r="A417" s="26"/>
      <c r="B417" s="26" t="s">
        <v>96</v>
      </c>
      <c r="C417" s="306"/>
      <c r="D417" s="33" t="s">
        <v>3</v>
      </c>
      <c r="E417" s="34">
        <v>39370</v>
      </c>
      <c r="F417" s="34" t="s">
        <v>258</v>
      </c>
      <c r="G417" s="35" t="s">
        <v>204</v>
      </c>
      <c r="H417" s="35"/>
      <c r="I417" s="35"/>
      <c r="J417" s="2" t="s">
        <v>1</v>
      </c>
      <c r="K417" s="27">
        <v>125000</v>
      </c>
      <c r="L417" s="4">
        <v>25000</v>
      </c>
      <c r="M417" s="4">
        <v>25000</v>
      </c>
      <c r="N417" s="2" t="s">
        <v>11</v>
      </c>
      <c r="O417" s="4"/>
      <c r="P417" s="283"/>
      <c r="Q417" s="283"/>
      <c r="R417" s="283"/>
      <c r="S417" s="283"/>
      <c r="T417" s="283"/>
      <c r="Z417" s="490"/>
      <c r="AA417" s="60"/>
    </row>
    <row r="418" spans="1:46" s="2" customFormat="1" ht="12.75" customHeight="1" x14ac:dyDescent="0.25">
      <c r="A418" s="26"/>
      <c r="B418" s="26"/>
      <c r="C418" s="306"/>
      <c r="D418" s="33"/>
      <c r="E418" s="34" t="s">
        <v>12</v>
      </c>
      <c r="F418" s="34"/>
      <c r="G418" s="35" t="s">
        <v>193</v>
      </c>
      <c r="H418" s="35"/>
      <c r="I418" s="35"/>
      <c r="J418" s="17" t="s">
        <v>2</v>
      </c>
      <c r="K418" s="28">
        <v>15218.75</v>
      </c>
      <c r="L418" s="11">
        <v>1468.75</v>
      </c>
      <c r="M418" s="11">
        <v>484.37</v>
      </c>
      <c r="N418" s="17" t="s">
        <v>11</v>
      </c>
      <c r="O418" s="11"/>
      <c r="P418" s="142"/>
      <c r="Q418" s="142"/>
      <c r="R418" s="142"/>
      <c r="S418" s="142"/>
      <c r="T418" s="142"/>
      <c r="U418" s="17"/>
      <c r="V418" s="17"/>
      <c r="W418" s="17"/>
      <c r="X418" s="17"/>
      <c r="Y418" s="17"/>
      <c r="Z418" s="491"/>
      <c r="AA418" s="532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</row>
    <row r="419" spans="1:46" s="6" customFormat="1" ht="13.5" customHeight="1" thickBot="1" x14ac:dyDescent="0.3">
      <c r="A419" s="120"/>
      <c r="B419" s="120"/>
      <c r="C419" s="307"/>
      <c r="D419" s="85"/>
      <c r="E419" s="86" t="s">
        <v>160</v>
      </c>
      <c r="F419" s="86" t="s">
        <v>410</v>
      </c>
      <c r="G419" s="125" t="s">
        <v>250</v>
      </c>
      <c r="H419" s="125"/>
      <c r="I419" s="125"/>
      <c r="J419" s="41" t="s">
        <v>6</v>
      </c>
      <c r="K419" s="42">
        <f>K418+K417</f>
        <v>140218.75</v>
      </c>
      <c r="L419" s="43">
        <f>L418+L417</f>
        <v>26468.75</v>
      </c>
      <c r="M419" s="43">
        <f>M418+M417</f>
        <v>25484.37</v>
      </c>
      <c r="N419" s="41" t="s">
        <v>11</v>
      </c>
      <c r="O419" s="43"/>
      <c r="P419" s="43"/>
      <c r="Q419" s="43"/>
      <c r="R419" s="43"/>
      <c r="S419" s="43"/>
      <c r="T419" s="43"/>
      <c r="U419" s="41"/>
      <c r="V419" s="41"/>
      <c r="W419" s="41"/>
      <c r="X419" s="41"/>
      <c r="Y419" s="41"/>
      <c r="Z419" s="492"/>
      <c r="AA419" s="533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</row>
    <row r="420" spans="1:46" s="2" customFormat="1" ht="12.75" customHeight="1" x14ac:dyDescent="0.25">
      <c r="A420" s="26"/>
      <c r="B420" s="26" t="s">
        <v>96</v>
      </c>
      <c r="C420" s="306"/>
      <c r="D420" s="33" t="s">
        <v>3</v>
      </c>
      <c r="E420" s="34">
        <v>39370</v>
      </c>
      <c r="F420" s="34" t="s">
        <v>258</v>
      </c>
      <c r="G420" s="35" t="s">
        <v>362</v>
      </c>
      <c r="H420" s="35"/>
      <c r="I420" s="35"/>
      <c r="J420" s="2" t="s">
        <v>1</v>
      </c>
      <c r="K420" s="27">
        <v>55000</v>
      </c>
      <c r="L420" s="4">
        <v>10000</v>
      </c>
      <c r="M420" s="4">
        <v>10000</v>
      </c>
      <c r="N420" s="2" t="s">
        <v>11</v>
      </c>
      <c r="O420" s="4"/>
      <c r="P420" s="283"/>
      <c r="Q420" s="283"/>
      <c r="R420" s="283"/>
      <c r="S420" s="283"/>
      <c r="T420" s="283"/>
      <c r="U420" s="283"/>
      <c r="Z420" s="490"/>
      <c r="AA420" s="60"/>
    </row>
    <row r="421" spans="1:46" s="2" customFormat="1" ht="12.75" customHeight="1" x14ac:dyDescent="0.25">
      <c r="A421" s="26"/>
      <c r="B421" s="26"/>
      <c r="C421" s="306"/>
      <c r="D421" s="33"/>
      <c r="E421" s="34" t="s">
        <v>12</v>
      </c>
      <c r="F421" s="34"/>
      <c r="G421" s="35" t="s">
        <v>194</v>
      </c>
      <c r="H421" s="35"/>
      <c r="I421" s="35"/>
      <c r="J421" s="17" t="s">
        <v>2</v>
      </c>
      <c r="K421" s="28">
        <v>6312.5</v>
      </c>
      <c r="L421" s="11">
        <v>587.5</v>
      </c>
      <c r="M421" s="11">
        <v>193.75</v>
      </c>
      <c r="N421" s="17" t="s">
        <v>11</v>
      </c>
      <c r="O421" s="11"/>
      <c r="P421" s="142"/>
      <c r="Q421" s="142"/>
      <c r="R421" s="142"/>
      <c r="S421" s="142"/>
      <c r="T421" s="142"/>
      <c r="U421" s="142"/>
      <c r="V421" s="17"/>
      <c r="W421" s="17"/>
      <c r="X421" s="17"/>
      <c r="Y421" s="17"/>
      <c r="Z421" s="491"/>
      <c r="AA421" s="532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</row>
    <row r="422" spans="1:46" s="6" customFormat="1" ht="13.5" customHeight="1" thickBot="1" x14ac:dyDescent="0.3">
      <c r="A422" s="120"/>
      <c r="B422" s="120"/>
      <c r="C422" s="307"/>
      <c r="D422" s="85"/>
      <c r="E422" s="86" t="s">
        <v>160</v>
      </c>
      <c r="F422" s="86" t="s">
        <v>410</v>
      </c>
      <c r="G422" s="125" t="s">
        <v>251</v>
      </c>
      <c r="H422" s="125"/>
      <c r="I422" s="125"/>
      <c r="J422" s="41" t="s">
        <v>6</v>
      </c>
      <c r="K422" s="42">
        <f>K421+K420</f>
        <v>61312.5</v>
      </c>
      <c r="L422" s="43">
        <f>L421+L420</f>
        <v>10587.5</v>
      </c>
      <c r="M422" s="43">
        <f t="shared" ref="M422" si="263">M421+M420</f>
        <v>10193.75</v>
      </c>
      <c r="N422" s="41" t="s">
        <v>11</v>
      </c>
      <c r="O422" s="43"/>
      <c r="P422" s="43"/>
      <c r="Q422" s="43"/>
      <c r="R422" s="43"/>
      <c r="S422" s="43"/>
      <c r="T422" s="43"/>
      <c r="U422" s="43"/>
      <c r="V422" s="41"/>
      <c r="W422" s="41"/>
      <c r="X422" s="41"/>
      <c r="Y422" s="41"/>
      <c r="Z422" s="492"/>
      <c r="AA422" s="533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</row>
    <row r="423" spans="1:46" s="2" customFormat="1" ht="12.75" customHeight="1" x14ac:dyDescent="0.25">
      <c r="A423" s="26"/>
      <c r="B423" s="26" t="s">
        <v>96</v>
      </c>
      <c r="C423" s="306"/>
      <c r="D423" s="33" t="s">
        <v>3</v>
      </c>
      <c r="E423" s="34">
        <v>39370</v>
      </c>
      <c r="F423" s="34" t="s">
        <v>258</v>
      </c>
      <c r="G423" s="35" t="s">
        <v>363</v>
      </c>
      <c r="H423" s="35"/>
      <c r="I423" s="35"/>
      <c r="J423" s="2" t="s">
        <v>1</v>
      </c>
      <c r="K423" s="27">
        <v>70000</v>
      </c>
      <c r="L423" s="4">
        <v>15000</v>
      </c>
      <c r="M423" s="4">
        <v>10000</v>
      </c>
      <c r="N423" s="2" t="s">
        <v>11</v>
      </c>
      <c r="O423" s="4"/>
      <c r="P423" s="283"/>
      <c r="Q423" s="283"/>
      <c r="R423" s="283"/>
      <c r="S423" s="283"/>
      <c r="T423" s="283"/>
      <c r="U423" s="283"/>
      <c r="Z423" s="490"/>
      <c r="AA423" s="60"/>
    </row>
    <row r="424" spans="1:46" s="2" customFormat="1" ht="12.75" customHeight="1" x14ac:dyDescent="0.25">
      <c r="A424" s="26"/>
      <c r="B424" s="26"/>
      <c r="C424" s="306"/>
      <c r="D424" s="33"/>
      <c r="E424" s="34" t="s">
        <v>12</v>
      </c>
      <c r="F424" s="34"/>
      <c r="G424" s="35" t="s">
        <v>196</v>
      </c>
      <c r="H424" s="35"/>
      <c r="I424" s="35"/>
      <c r="J424" s="17" t="s">
        <v>2</v>
      </c>
      <c r="K424" s="28">
        <v>8162.5</v>
      </c>
      <c r="L424" s="11">
        <v>687.5</v>
      </c>
      <c r="M424" s="11">
        <v>193.75</v>
      </c>
      <c r="N424" s="17" t="s">
        <v>11</v>
      </c>
      <c r="O424" s="11"/>
      <c r="P424" s="142"/>
      <c r="Q424" s="142"/>
      <c r="R424" s="142"/>
      <c r="S424" s="142"/>
      <c r="T424" s="142"/>
      <c r="U424" s="142"/>
      <c r="V424" s="17"/>
      <c r="W424" s="17"/>
      <c r="X424" s="17"/>
      <c r="Y424" s="17"/>
      <c r="Z424" s="491"/>
      <c r="AA424" s="532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</row>
    <row r="425" spans="1:46" s="6" customFormat="1" ht="13.5" customHeight="1" thickBot="1" x14ac:dyDescent="0.3">
      <c r="A425" s="120"/>
      <c r="B425" s="120"/>
      <c r="C425" s="307"/>
      <c r="D425" s="85"/>
      <c r="E425" s="86" t="s">
        <v>160</v>
      </c>
      <c r="F425" s="86" t="s">
        <v>410</v>
      </c>
      <c r="G425" s="125" t="s">
        <v>252</v>
      </c>
      <c r="H425" s="125"/>
      <c r="I425" s="125"/>
      <c r="J425" s="41" t="s">
        <v>6</v>
      </c>
      <c r="K425" s="42">
        <f>K424+K423</f>
        <v>78162.5</v>
      </c>
      <c r="L425" s="43">
        <f>L424+L423</f>
        <v>15687.5</v>
      </c>
      <c r="M425" s="43">
        <f t="shared" ref="M425" si="264">M424+M423</f>
        <v>10193.75</v>
      </c>
      <c r="N425" s="41" t="s">
        <v>11</v>
      </c>
      <c r="O425" s="43"/>
      <c r="P425" s="43"/>
      <c r="Q425" s="43"/>
      <c r="R425" s="43"/>
      <c r="S425" s="43"/>
      <c r="T425" s="43"/>
      <c r="U425" s="43"/>
      <c r="V425" s="41"/>
      <c r="W425" s="41"/>
      <c r="X425" s="41"/>
      <c r="Y425" s="41"/>
      <c r="Z425" s="492"/>
      <c r="AA425" s="533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</row>
    <row r="426" spans="1:46" s="2" customFormat="1" ht="12.75" customHeight="1" x14ac:dyDescent="0.25">
      <c r="A426" s="26"/>
      <c r="B426" s="26" t="s">
        <v>96</v>
      </c>
      <c r="C426" s="306"/>
      <c r="D426" s="33" t="s">
        <v>3</v>
      </c>
      <c r="E426" s="34">
        <v>39370</v>
      </c>
      <c r="F426" s="34" t="s">
        <v>258</v>
      </c>
      <c r="G426" s="35" t="s">
        <v>219</v>
      </c>
      <c r="H426" s="35"/>
      <c r="I426" s="35"/>
      <c r="J426" s="2" t="s">
        <v>1</v>
      </c>
      <c r="K426" s="27">
        <v>74500</v>
      </c>
      <c r="L426" s="4">
        <v>10000</v>
      </c>
      <c r="M426" s="4">
        <v>10000</v>
      </c>
      <c r="N426" s="2" t="s">
        <v>11</v>
      </c>
      <c r="O426" s="4"/>
      <c r="P426" s="283"/>
      <c r="Q426" s="283"/>
      <c r="R426" s="283"/>
      <c r="S426" s="283"/>
      <c r="T426" s="283"/>
      <c r="U426" s="283"/>
      <c r="Z426" s="490"/>
      <c r="AA426" s="60"/>
    </row>
    <row r="427" spans="1:46" s="2" customFormat="1" ht="12.75" customHeight="1" x14ac:dyDescent="0.25">
      <c r="A427" s="26"/>
      <c r="B427" s="26"/>
      <c r="C427" s="306"/>
      <c r="D427" s="33"/>
      <c r="E427" s="34" t="s">
        <v>12</v>
      </c>
      <c r="F427" s="34"/>
      <c r="G427" s="35" t="s">
        <v>218</v>
      </c>
      <c r="H427" s="35"/>
      <c r="I427" s="35"/>
      <c r="J427" s="17" t="s">
        <v>2</v>
      </c>
      <c r="K427" s="28">
        <v>7640</v>
      </c>
      <c r="L427" s="11">
        <v>587.5</v>
      </c>
      <c r="M427" s="11">
        <v>193.75</v>
      </c>
      <c r="N427" s="17" t="s">
        <v>11</v>
      </c>
      <c r="O427" s="11"/>
      <c r="P427" s="142"/>
      <c r="Q427" s="142"/>
      <c r="R427" s="142"/>
      <c r="S427" s="142"/>
      <c r="T427" s="142"/>
      <c r="U427" s="142"/>
      <c r="V427" s="17"/>
      <c r="W427" s="17"/>
      <c r="X427" s="17"/>
      <c r="Y427" s="17"/>
      <c r="Z427" s="491"/>
      <c r="AA427" s="532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</row>
    <row r="428" spans="1:46" s="6" customFormat="1" ht="13.5" customHeight="1" thickBot="1" x14ac:dyDescent="0.3">
      <c r="A428" s="120"/>
      <c r="B428" s="120"/>
      <c r="C428" s="307"/>
      <c r="D428" s="85"/>
      <c r="E428" s="86" t="s">
        <v>160</v>
      </c>
      <c r="F428" s="86" t="s">
        <v>410</v>
      </c>
      <c r="G428" s="125" t="s">
        <v>248</v>
      </c>
      <c r="H428" s="125"/>
      <c r="I428" s="125"/>
      <c r="J428" s="41" t="s">
        <v>6</v>
      </c>
      <c r="K428" s="42">
        <f>K427+K426</f>
        <v>82140</v>
      </c>
      <c r="L428" s="43">
        <f>L427+L426</f>
        <v>10587.5</v>
      </c>
      <c r="M428" s="43">
        <f t="shared" ref="M428" si="265">M427+M426</f>
        <v>10193.75</v>
      </c>
      <c r="N428" s="41" t="s">
        <v>11</v>
      </c>
      <c r="O428" s="43"/>
      <c r="P428" s="43"/>
      <c r="Q428" s="43"/>
      <c r="R428" s="43"/>
      <c r="S428" s="43"/>
      <c r="T428" s="43"/>
      <c r="U428" s="43"/>
      <c r="V428" s="41"/>
      <c r="W428" s="41"/>
      <c r="X428" s="41"/>
      <c r="Y428" s="41"/>
      <c r="Z428" s="492"/>
      <c r="AA428" s="533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</row>
    <row r="429" spans="1:46" s="2" customFormat="1" ht="12.75" customHeight="1" x14ac:dyDescent="0.25">
      <c r="A429" s="26"/>
      <c r="B429" s="26" t="s">
        <v>96</v>
      </c>
      <c r="C429" s="306"/>
      <c r="D429" s="33" t="s">
        <v>3</v>
      </c>
      <c r="E429" s="34">
        <v>39370</v>
      </c>
      <c r="F429" s="34" t="s">
        <v>258</v>
      </c>
      <c r="G429" s="35" t="s">
        <v>387</v>
      </c>
      <c r="H429" s="35"/>
      <c r="I429" s="35"/>
      <c r="J429" s="2" t="s">
        <v>1</v>
      </c>
      <c r="K429" s="27">
        <v>316000</v>
      </c>
      <c r="L429" s="4">
        <v>60000</v>
      </c>
      <c r="M429" s="4">
        <v>60000</v>
      </c>
      <c r="N429" s="2" t="s">
        <v>11</v>
      </c>
      <c r="O429" s="4"/>
      <c r="P429" s="283"/>
      <c r="Q429" s="283"/>
      <c r="R429" s="283"/>
      <c r="S429" s="283"/>
      <c r="T429" s="283"/>
      <c r="U429" s="283"/>
      <c r="Z429" s="490"/>
      <c r="AA429" s="60"/>
    </row>
    <row r="430" spans="1:46" s="2" customFormat="1" ht="12.75" customHeight="1" x14ac:dyDescent="0.25">
      <c r="A430" s="26"/>
      <c r="B430" s="26"/>
      <c r="C430" s="306"/>
      <c r="D430" s="33"/>
      <c r="E430" s="34" t="s">
        <v>12</v>
      </c>
      <c r="F430" s="34"/>
      <c r="G430" s="35" t="s">
        <v>195</v>
      </c>
      <c r="H430" s="35"/>
      <c r="I430" s="35"/>
      <c r="J430" s="17" t="s">
        <v>2</v>
      </c>
      <c r="K430" s="28">
        <v>37845</v>
      </c>
      <c r="L430" s="11">
        <v>3525</v>
      </c>
      <c r="M430" s="11">
        <v>1162.5</v>
      </c>
      <c r="N430" s="17" t="s">
        <v>11</v>
      </c>
      <c r="O430" s="11"/>
      <c r="P430" s="142"/>
      <c r="Q430" s="142"/>
      <c r="R430" s="142"/>
      <c r="S430" s="142"/>
      <c r="T430" s="142"/>
      <c r="U430" s="142"/>
      <c r="V430" s="17"/>
      <c r="W430" s="17"/>
      <c r="X430" s="17"/>
      <c r="Y430" s="17"/>
      <c r="Z430" s="491"/>
      <c r="AA430" s="532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</row>
    <row r="431" spans="1:46" s="6" customFormat="1" ht="13.5" customHeight="1" thickBot="1" x14ac:dyDescent="0.3">
      <c r="A431" s="120"/>
      <c r="B431" s="120"/>
      <c r="C431" s="307"/>
      <c r="D431" s="85"/>
      <c r="E431" s="86" t="s">
        <v>160</v>
      </c>
      <c r="F431" s="86" t="s">
        <v>410</v>
      </c>
      <c r="G431" s="125" t="s">
        <v>249</v>
      </c>
      <c r="H431" s="125"/>
      <c r="I431" s="125"/>
      <c r="J431" s="41" t="s">
        <v>6</v>
      </c>
      <c r="K431" s="42">
        <f>K430+K429</f>
        <v>353845</v>
      </c>
      <c r="L431" s="43">
        <f>L430+L429</f>
        <v>63525</v>
      </c>
      <c r="M431" s="43">
        <f t="shared" ref="M431" si="266">M430+M429</f>
        <v>61162.5</v>
      </c>
      <c r="N431" s="41" t="s">
        <v>11</v>
      </c>
      <c r="O431" s="43"/>
      <c r="P431" s="43"/>
      <c r="Q431" s="43"/>
      <c r="R431" s="43"/>
      <c r="S431" s="43"/>
      <c r="T431" s="43"/>
      <c r="U431" s="43"/>
      <c r="V431" s="41"/>
      <c r="W431" s="41"/>
      <c r="X431" s="41"/>
      <c r="Y431" s="41"/>
      <c r="Z431" s="492"/>
      <c r="AA431" s="533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</row>
    <row r="432" spans="1:46" s="3" customFormat="1" x14ac:dyDescent="0.25">
      <c r="A432" s="121"/>
      <c r="B432" s="121"/>
      <c r="C432" s="306"/>
      <c r="D432" s="54"/>
      <c r="E432" s="54"/>
      <c r="F432" s="54"/>
      <c r="G432" s="36" t="s">
        <v>32</v>
      </c>
      <c r="H432" s="152">
        <v>1772519</v>
      </c>
      <c r="I432" s="36">
        <v>591100</v>
      </c>
      <c r="J432" s="33" t="s">
        <v>1</v>
      </c>
      <c r="K432" s="37">
        <f t="shared" ref="K432:M433" si="267">K429+K426+K423+K420+K417+K414+K411+K408+K405+K402</f>
        <v>1121000</v>
      </c>
      <c r="L432" s="7">
        <f t="shared" si="267"/>
        <v>175000</v>
      </c>
      <c r="M432" s="7">
        <f t="shared" si="267"/>
        <v>170000</v>
      </c>
      <c r="N432" s="7">
        <f>N405</f>
        <v>15000</v>
      </c>
      <c r="O432" s="7">
        <f t="shared" ref="O432:AA432" si="268">O405</f>
        <v>15000</v>
      </c>
      <c r="P432" s="7">
        <f t="shared" si="268"/>
        <v>15000</v>
      </c>
      <c r="Q432" s="7">
        <f t="shared" si="268"/>
        <v>15000</v>
      </c>
      <c r="R432" s="7">
        <f t="shared" si="268"/>
        <v>15000</v>
      </c>
      <c r="S432" s="7">
        <f t="shared" si="268"/>
        <v>15000</v>
      </c>
      <c r="T432" s="7">
        <f t="shared" si="268"/>
        <v>15000</v>
      </c>
      <c r="U432" s="7">
        <f t="shared" si="268"/>
        <v>15000</v>
      </c>
      <c r="V432" s="7">
        <f t="shared" si="268"/>
        <v>15000</v>
      </c>
      <c r="W432" s="7">
        <f t="shared" si="268"/>
        <v>15000</v>
      </c>
      <c r="X432" s="7">
        <f t="shared" si="268"/>
        <v>15000</v>
      </c>
      <c r="Y432" s="7">
        <f t="shared" si="268"/>
        <v>15000</v>
      </c>
      <c r="Z432" s="501">
        <f t="shared" si="268"/>
        <v>10000</v>
      </c>
      <c r="AA432" s="540">
        <f t="shared" si="268"/>
        <v>10000</v>
      </c>
      <c r="AB432" s="3" t="s">
        <v>11</v>
      </c>
    </row>
    <row r="433" spans="1:46" s="3" customFormat="1" x14ac:dyDescent="0.25">
      <c r="A433" s="121"/>
      <c r="B433" s="121"/>
      <c r="C433" s="306"/>
      <c r="D433" s="54"/>
      <c r="E433" s="54"/>
      <c r="F433" s="54"/>
      <c r="G433" s="33"/>
      <c r="H433" s="152">
        <v>1772519</v>
      </c>
      <c r="I433" s="33">
        <v>595100</v>
      </c>
      <c r="J433" s="38" t="s">
        <v>2</v>
      </c>
      <c r="K433" s="39">
        <f t="shared" si="267"/>
        <v>212370</v>
      </c>
      <c r="L433" s="16">
        <f t="shared" si="267"/>
        <v>18637.5</v>
      </c>
      <c r="M433" s="16">
        <f t="shared" si="267"/>
        <v>11843.730000000001</v>
      </c>
      <c r="N433" s="16">
        <f>N406</f>
        <v>8259.380000000001</v>
      </c>
      <c r="O433" s="16">
        <f t="shared" ref="O433:AA433" si="269">O406</f>
        <v>7678.12</v>
      </c>
      <c r="P433" s="16">
        <f t="shared" si="269"/>
        <v>7012.5</v>
      </c>
      <c r="Q433" s="16">
        <f t="shared" si="269"/>
        <v>6262.5</v>
      </c>
      <c r="R433" s="16">
        <f t="shared" si="269"/>
        <v>5512.5</v>
      </c>
      <c r="S433" s="16">
        <f t="shared" si="269"/>
        <v>4830</v>
      </c>
      <c r="T433" s="16">
        <f t="shared" si="269"/>
        <v>4215</v>
      </c>
      <c r="U433" s="16">
        <f t="shared" si="269"/>
        <v>3600</v>
      </c>
      <c r="V433" s="16">
        <f t="shared" si="269"/>
        <v>2985</v>
      </c>
      <c r="W433" s="16">
        <f t="shared" si="269"/>
        <v>2370</v>
      </c>
      <c r="X433" s="16">
        <f t="shared" si="269"/>
        <v>1753.13</v>
      </c>
      <c r="Y433" s="16">
        <f t="shared" si="269"/>
        <v>1134.3699999999999</v>
      </c>
      <c r="Z433" s="502">
        <f t="shared" si="269"/>
        <v>618.75</v>
      </c>
      <c r="AA433" s="541">
        <f t="shared" si="269"/>
        <v>206.25</v>
      </c>
      <c r="AB433" s="20" t="s">
        <v>11</v>
      </c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</row>
    <row r="434" spans="1:46" s="8" customFormat="1" ht="13.8" thickBot="1" x14ac:dyDescent="0.3">
      <c r="A434" s="122"/>
      <c r="B434" s="122"/>
      <c r="C434" s="307"/>
      <c r="D434" s="85"/>
      <c r="E434" s="85"/>
      <c r="F434" s="85"/>
      <c r="G434" s="85"/>
      <c r="H434" s="85"/>
      <c r="I434" s="85"/>
      <c r="J434" s="44" t="s">
        <v>5</v>
      </c>
      <c r="K434" s="45">
        <f>K433+K432</f>
        <v>1333370</v>
      </c>
      <c r="L434" s="46">
        <f>L433+L432</f>
        <v>193637.5</v>
      </c>
      <c r="M434" s="46">
        <f t="shared" ref="M434:AA434" si="270">M433+M432</f>
        <v>181843.73</v>
      </c>
      <c r="N434" s="46">
        <f t="shared" si="270"/>
        <v>23259.38</v>
      </c>
      <c r="O434" s="46">
        <f t="shared" si="270"/>
        <v>22678.12</v>
      </c>
      <c r="P434" s="46">
        <f t="shared" si="270"/>
        <v>22012.5</v>
      </c>
      <c r="Q434" s="46">
        <f t="shared" si="270"/>
        <v>21262.5</v>
      </c>
      <c r="R434" s="46">
        <f t="shared" si="270"/>
        <v>20512.5</v>
      </c>
      <c r="S434" s="46">
        <f t="shared" si="270"/>
        <v>19830</v>
      </c>
      <c r="T434" s="46">
        <f t="shared" si="270"/>
        <v>19215</v>
      </c>
      <c r="U434" s="46">
        <f t="shared" si="270"/>
        <v>18600</v>
      </c>
      <c r="V434" s="46">
        <f t="shared" si="270"/>
        <v>17985</v>
      </c>
      <c r="W434" s="46">
        <f t="shared" si="270"/>
        <v>17370</v>
      </c>
      <c r="X434" s="46">
        <f t="shared" si="270"/>
        <v>16753.13</v>
      </c>
      <c r="Y434" s="46">
        <f t="shared" si="270"/>
        <v>16134.369999999999</v>
      </c>
      <c r="Z434" s="503">
        <f t="shared" si="270"/>
        <v>10618.75</v>
      </c>
      <c r="AA434" s="542">
        <f t="shared" si="270"/>
        <v>10206.25</v>
      </c>
      <c r="AB434" s="47" t="s">
        <v>11</v>
      </c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</row>
    <row r="435" spans="1:46" s="2" customFormat="1" x14ac:dyDescent="0.25">
      <c r="A435" s="26"/>
      <c r="B435" s="26" t="s">
        <v>96</v>
      </c>
      <c r="C435" s="306"/>
      <c r="D435" s="14" t="s">
        <v>0</v>
      </c>
      <c r="E435" s="24">
        <v>39370</v>
      </c>
      <c r="F435" s="24" t="s">
        <v>269</v>
      </c>
      <c r="G435" s="15" t="s">
        <v>111</v>
      </c>
      <c r="H435" s="15"/>
      <c r="I435" s="15"/>
      <c r="J435" s="2" t="s">
        <v>1</v>
      </c>
      <c r="K435" s="27">
        <v>30000</v>
      </c>
      <c r="L435" s="4">
        <v>5000</v>
      </c>
      <c r="M435" s="4">
        <v>5000</v>
      </c>
      <c r="N435" s="2" t="s">
        <v>11</v>
      </c>
      <c r="O435" s="4"/>
      <c r="P435" s="283"/>
      <c r="Q435" s="283"/>
      <c r="R435" s="283"/>
      <c r="S435" s="283"/>
      <c r="T435" s="283"/>
      <c r="U435" s="283"/>
      <c r="V435" s="283"/>
      <c r="W435" s="283"/>
      <c r="X435" s="283"/>
      <c r="Y435" s="283"/>
      <c r="Z435" s="497"/>
      <c r="AA435" s="536"/>
    </row>
    <row r="436" spans="1:46" s="2" customFormat="1" x14ac:dyDescent="0.25">
      <c r="A436" s="26"/>
      <c r="B436" s="26"/>
      <c r="C436" s="306"/>
      <c r="D436" s="14"/>
      <c r="E436" s="24" t="s">
        <v>12</v>
      </c>
      <c r="F436" s="24"/>
      <c r="G436" s="15" t="s">
        <v>555</v>
      </c>
      <c r="H436" s="15"/>
      <c r="I436" s="15"/>
      <c r="J436" s="17" t="s">
        <v>2</v>
      </c>
      <c r="K436" s="28">
        <v>3268.75</v>
      </c>
      <c r="L436" s="11">
        <v>293.75</v>
      </c>
      <c r="M436" s="11">
        <v>96.87</v>
      </c>
      <c r="N436" s="17" t="s">
        <v>11</v>
      </c>
      <c r="O436" s="11"/>
      <c r="P436" s="142"/>
      <c r="Q436" s="142"/>
      <c r="R436" s="142"/>
      <c r="S436" s="142"/>
      <c r="T436" s="142"/>
      <c r="U436" s="142"/>
      <c r="V436" s="142"/>
      <c r="W436" s="142"/>
      <c r="X436" s="487"/>
      <c r="Y436" s="487"/>
      <c r="Z436" s="498"/>
      <c r="AA436" s="53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</row>
    <row r="437" spans="1:46" s="6" customFormat="1" ht="13.8" thickBot="1" x14ac:dyDescent="0.3">
      <c r="A437" s="120"/>
      <c r="B437" s="120"/>
      <c r="C437" s="307"/>
      <c r="D437" s="87"/>
      <c r="E437" s="88" t="s">
        <v>14</v>
      </c>
      <c r="F437" s="88" t="s">
        <v>410</v>
      </c>
      <c r="G437" s="126"/>
      <c r="H437" s="126"/>
      <c r="I437" s="126"/>
      <c r="J437" s="41" t="s">
        <v>6</v>
      </c>
      <c r="K437" s="42">
        <f>K436+K435</f>
        <v>33268.75</v>
      </c>
      <c r="L437" s="43">
        <f>L436+L435</f>
        <v>5293.75</v>
      </c>
      <c r="M437" s="43">
        <f t="shared" ref="M437" si="271">M436+M435</f>
        <v>5096.87</v>
      </c>
      <c r="N437" s="41" t="s">
        <v>11</v>
      </c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99"/>
      <c r="AA437" s="538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</row>
    <row r="438" spans="1:46" s="2" customFormat="1" x14ac:dyDescent="0.25">
      <c r="A438" s="26" t="s">
        <v>0</v>
      </c>
      <c r="B438" s="26" t="s">
        <v>96</v>
      </c>
      <c r="C438" s="306"/>
      <c r="D438" s="14" t="s">
        <v>0</v>
      </c>
      <c r="E438" s="24">
        <v>39370</v>
      </c>
      <c r="F438" s="24" t="s">
        <v>266</v>
      </c>
      <c r="G438" s="15" t="s">
        <v>112</v>
      </c>
      <c r="H438" s="15">
        <v>60317141</v>
      </c>
      <c r="I438" s="15">
        <v>584012</v>
      </c>
      <c r="J438" s="2" t="s">
        <v>1</v>
      </c>
      <c r="K438" s="27">
        <v>105000</v>
      </c>
      <c r="L438" s="4">
        <v>10000</v>
      </c>
      <c r="M438" s="4">
        <v>10000</v>
      </c>
      <c r="N438" s="4">
        <v>10000</v>
      </c>
      <c r="O438" s="4">
        <v>10000</v>
      </c>
      <c r="P438" s="4">
        <v>10000</v>
      </c>
      <c r="Q438" s="4">
        <v>10000</v>
      </c>
      <c r="R438" s="4">
        <v>10000</v>
      </c>
      <c r="S438" s="367" t="s">
        <v>11</v>
      </c>
      <c r="T438" s="283"/>
      <c r="U438" s="283"/>
      <c r="V438" s="283"/>
      <c r="W438" s="283"/>
      <c r="X438" s="283"/>
      <c r="Y438" s="283"/>
      <c r="Z438" s="497"/>
      <c r="AA438" s="536"/>
    </row>
    <row r="439" spans="1:46" s="2" customFormat="1" x14ac:dyDescent="0.25">
      <c r="A439" s="26"/>
      <c r="B439" s="26"/>
      <c r="C439" s="306"/>
      <c r="D439" s="14"/>
      <c r="E439" s="24" t="s">
        <v>12</v>
      </c>
      <c r="F439" s="24"/>
      <c r="G439" s="15" t="s">
        <v>314</v>
      </c>
      <c r="H439" s="15"/>
      <c r="I439" s="15"/>
      <c r="J439" s="17" t="s">
        <v>2</v>
      </c>
      <c r="K439" s="28">
        <v>24850</v>
      </c>
      <c r="L439" s="11">
        <v>2862.5</v>
      </c>
      <c r="M439" s="11">
        <v>2468.75</v>
      </c>
      <c r="N439" s="11">
        <f>1137.5+943.75</f>
        <v>2081.25</v>
      </c>
      <c r="O439" s="11">
        <f>943.75+750</f>
        <v>1693.75</v>
      </c>
      <c r="P439" s="142">
        <f>750+500</f>
        <v>1250</v>
      </c>
      <c r="Q439" s="142">
        <f>500+250</f>
        <v>750</v>
      </c>
      <c r="R439" s="142">
        <v>250</v>
      </c>
      <c r="S439" s="368" t="s">
        <v>11</v>
      </c>
      <c r="T439" s="142"/>
      <c r="U439" s="142"/>
      <c r="V439" s="142"/>
      <c r="W439" s="142"/>
      <c r="X439" s="142"/>
      <c r="Y439" s="142"/>
      <c r="Z439" s="500"/>
      <c r="AA439" s="539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</row>
    <row r="440" spans="1:46" s="6" customFormat="1" ht="13.8" thickBot="1" x14ac:dyDescent="0.3">
      <c r="A440" s="120"/>
      <c r="B440" s="120"/>
      <c r="C440" s="307"/>
      <c r="D440" s="87"/>
      <c r="E440" s="88" t="s">
        <v>14</v>
      </c>
      <c r="F440" s="88" t="s">
        <v>410</v>
      </c>
      <c r="G440" s="140"/>
      <c r="H440" s="140"/>
      <c r="I440" s="140"/>
      <c r="J440" s="41" t="s">
        <v>6</v>
      </c>
      <c r="K440" s="42">
        <f>K439+K438</f>
        <v>129850</v>
      </c>
      <c r="L440" s="43">
        <f>L439+L438</f>
        <v>12862.5</v>
      </c>
      <c r="M440" s="43">
        <f t="shared" ref="M440:R440" si="272">M439+M438</f>
        <v>12468.75</v>
      </c>
      <c r="N440" s="43">
        <f t="shared" si="272"/>
        <v>12081.25</v>
      </c>
      <c r="O440" s="43">
        <f t="shared" si="272"/>
        <v>11693.75</v>
      </c>
      <c r="P440" s="43">
        <f t="shared" si="272"/>
        <v>11250</v>
      </c>
      <c r="Q440" s="43">
        <f t="shared" si="272"/>
        <v>10750</v>
      </c>
      <c r="R440" s="43">
        <f t="shared" si="272"/>
        <v>10250</v>
      </c>
      <c r="S440" s="41" t="s">
        <v>11</v>
      </c>
      <c r="T440" s="43"/>
      <c r="U440" s="43"/>
      <c r="V440" s="43"/>
      <c r="W440" s="43"/>
      <c r="X440" s="43"/>
      <c r="Y440" s="43"/>
      <c r="Z440" s="499"/>
      <c r="AA440" s="538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</row>
    <row r="441" spans="1:46" s="2" customFormat="1" x14ac:dyDescent="0.25">
      <c r="A441" s="26"/>
      <c r="B441" s="26" t="s">
        <v>96</v>
      </c>
      <c r="C441" s="306"/>
      <c r="D441" s="14" t="s">
        <v>0</v>
      </c>
      <c r="E441" s="24">
        <v>39370</v>
      </c>
      <c r="F441" s="24" t="s">
        <v>266</v>
      </c>
      <c r="G441" s="15" t="s">
        <v>113</v>
      </c>
      <c r="H441" s="15">
        <v>60314065</v>
      </c>
      <c r="I441" s="15">
        <v>530000</v>
      </c>
      <c r="J441" s="2" t="s">
        <v>1</v>
      </c>
      <c r="K441" s="27">
        <v>60000</v>
      </c>
      <c r="L441" s="4">
        <v>10000</v>
      </c>
      <c r="M441" s="4">
        <v>10000</v>
      </c>
      <c r="N441" s="2" t="s">
        <v>11</v>
      </c>
      <c r="O441" s="4"/>
      <c r="P441" s="283"/>
      <c r="Q441" s="283"/>
      <c r="R441" s="283"/>
      <c r="S441" s="283"/>
      <c r="T441" s="283"/>
      <c r="U441" s="283"/>
      <c r="V441" s="283"/>
      <c r="W441" s="283"/>
      <c r="X441" s="283"/>
      <c r="Y441" s="283"/>
      <c r="Z441" s="497"/>
      <c r="AA441" s="536"/>
    </row>
    <row r="442" spans="1:46" s="2" customFormat="1" x14ac:dyDescent="0.25">
      <c r="A442" s="26"/>
      <c r="B442" s="26"/>
      <c r="C442" s="306"/>
      <c r="D442" s="14"/>
      <c r="E442" s="24" t="s">
        <v>12</v>
      </c>
      <c r="F442" s="24"/>
      <c r="G442" s="15" t="s">
        <v>605</v>
      </c>
      <c r="H442" s="15"/>
      <c r="I442" s="15"/>
      <c r="J442" s="17" t="s">
        <v>2</v>
      </c>
      <c r="K442" s="28">
        <v>6762.5</v>
      </c>
      <c r="L442" s="11">
        <v>587.5</v>
      </c>
      <c r="M442" s="11">
        <v>193.75</v>
      </c>
      <c r="N442" s="17" t="s">
        <v>11</v>
      </c>
      <c r="O442" s="11"/>
      <c r="P442" s="142"/>
      <c r="Q442" s="142"/>
      <c r="R442" s="142"/>
      <c r="S442" s="142"/>
      <c r="T442" s="142"/>
      <c r="U442" s="142"/>
      <c r="V442" s="142"/>
      <c r="W442" s="142"/>
      <c r="X442" s="142"/>
      <c r="Y442" s="142"/>
      <c r="Z442" s="500"/>
      <c r="AA442" s="539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</row>
    <row r="443" spans="1:46" s="6" customFormat="1" ht="13.8" thickBot="1" x14ac:dyDescent="0.3">
      <c r="A443" s="120"/>
      <c r="B443" s="120"/>
      <c r="C443" s="307"/>
      <c r="D443" s="87"/>
      <c r="E443" s="88" t="s">
        <v>14</v>
      </c>
      <c r="F443" s="88" t="s">
        <v>410</v>
      </c>
      <c r="G443" s="126" t="s">
        <v>709</v>
      </c>
      <c r="H443" s="126"/>
      <c r="I443" s="126"/>
      <c r="J443" s="41" t="s">
        <v>6</v>
      </c>
      <c r="K443" s="42">
        <f>K442+K441</f>
        <v>66762.5</v>
      </c>
      <c r="L443" s="43">
        <f>L442+L441</f>
        <v>10587.5</v>
      </c>
      <c r="M443" s="43">
        <f t="shared" ref="M443" si="273">M442+M441</f>
        <v>10193.75</v>
      </c>
      <c r="N443" s="41" t="s">
        <v>11</v>
      </c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99"/>
      <c r="AA443" s="538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</row>
    <row r="444" spans="1:46" s="2" customFormat="1" x14ac:dyDescent="0.25">
      <c r="A444" s="26" t="s">
        <v>0</v>
      </c>
      <c r="B444" s="26" t="s">
        <v>96</v>
      </c>
      <c r="C444" s="306"/>
      <c r="D444" s="14" t="s">
        <v>0</v>
      </c>
      <c r="E444" s="24">
        <v>39370</v>
      </c>
      <c r="F444" s="24" t="s">
        <v>266</v>
      </c>
      <c r="G444" s="15" t="s">
        <v>311</v>
      </c>
      <c r="H444" s="15"/>
      <c r="I444" s="15"/>
      <c r="J444" s="2" t="s">
        <v>1</v>
      </c>
      <c r="K444" s="27">
        <v>156000</v>
      </c>
      <c r="L444" s="4">
        <v>15000</v>
      </c>
      <c r="M444" s="4">
        <v>15000</v>
      </c>
      <c r="N444" s="4">
        <v>15000</v>
      </c>
      <c r="O444" s="4">
        <v>15000</v>
      </c>
      <c r="P444" s="283">
        <v>15000</v>
      </c>
      <c r="Q444" s="283">
        <v>10000</v>
      </c>
      <c r="R444" s="283">
        <v>10000</v>
      </c>
      <c r="S444" s="367" t="s">
        <v>11</v>
      </c>
      <c r="T444" s="283"/>
      <c r="U444" s="283"/>
      <c r="V444" s="283"/>
      <c r="W444" s="283"/>
      <c r="Z444" s="490"/>
      <c r="AA444" s="60"/>
    </row>
    <row r="445" spans="1:46" s="2" customFormat="1" x14ac:dyDescent="0.25">
      <c r="A445" s="26"/>
      <c r="B445" s="26"/>
      <c r="C445" s="306"/>
      <c r="D445" s="14"/>
      <c r="E445" s="24" t="s">
        <v>12</v>
      </c>
      <c r="F445" s="24"/>
      <c r="G445" s="15" t="s">
        <v>312</v>
      </c>
      <c r="H445" s="15"/>
      <c r="I445" s="15"/>
      <c r="J445" s="17" t="s">
        <v>2</v>
      </c>
      <c r="K445" s="28">
        <v>33132.5</v>
      </c>
      <c r="L445" s="11">
        <v>3793.75</v>
      </c>
      <c r="M445" s="11">
        <v>3203.12</v>
      </c>
      <c r="N445" s="11">
        <f>1456.25+1165.63</f>
        <v>2621.88</v>
      </c>
      <c r="O445" s="11">
        <f>1165.62+875</f>
        <v>2040.62</v>
      </c>
      <c r="P445" s="142">
        <f>875+500</f>
        <v>1375</v>
      </c>
      <c r="Q445" s="142">
        <f>500+250</f>
        <v>750</v>
      </c>
      <c r="R445" s="142">
        <v>250</v>
      </c>
      <c r="S445" s="368" t="s">
        <v>11</v>
      </c>
      <c r="T445" s="142"/>
      <c r="U445" s="142"/>
      <c r="V445" s="142"/>
      <c r="W445" s="142"/>
      <c r="X445" s="17"/>
      <c r="Y445" s="17"/>
      <c r="Z445" s="491"/>
      <c r="AA445" s="532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</row>
    <row r="446" spans="1:46" s="6" customFormat="1" ht="13.8" thickBot="1" x14ac:dyDescent="0.3">
      <c r="A446" s="440" t="s">
        <v>621</v>
      </c>
      <c r="B446" s="120"/>
      <c r="C446" s="307"/>
      <c r="D446" s="87"/>
      <c r="E446" s="88" t="s">
        <v>14</v>
      </c>
      <c r="F446" s="88" t="s">
        <v>410</v>
      </c>
      <c r="G446" s="126" t="s">
        <v>710</v>
      </c>
      <c r="H446" s="126"/>
      <c r="I446" s="126"/>
      <c r="J446" s="41" t="s">
        <v>6</v>
      </c>
      <c r="K446" s="42">
        <f>K445+K444</f>
        <v>189132.5</v>
      </c>
      <c r="L446" s="43">
        <f>L445+L444</f>
        <v>18793.75</v>
      </c>
      <c r="M446" s="43">
        <f t="shared" ref="M446:P446" si="274">M445+M444</f>
        <v>18203.12</v>
      </c>
      <c r="N446" s="43">
        <f t="shared" si="274"/>
        <v>17621.88</v>
      </c>
      <c r="O446" s="43">
        <f t="shared" si="274"/>
        <v>17040.62</v>
      </c>
      <c r="P446" s="43">
        <f t="shared" si="274"/>
        <v>16375</v>
      </c>
      <c r="Q446" s="43">
        <f>Q445+Q444</f>
        <v>10750</v>
      </c>
      <c r="R446" s="43">
        <f>R445+R444</f>
        <v>10250</v>
      </c>
      <c r="S446" s="41" t="s">
        <v>11</v>
      </c>
      <c r="T446" s="43"/>
      <c r="U446" s="43"/>
      <c r="V446" s="43"/>
      <c r="W446" s="43"/>
      <c r="X446" s="41"/>
      <c r="Y446" s="41"/>
      <c r="Z446" s="492"/>
      <c r="AA446" s="533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</row>
    <row r="447" spans="1:46" s="2" customFormat="1" x14ac:dyDescent="0.25">
      <c r="A447" s="26"/>
      <c r="B447" s="26"/>
      <c r="C447" s="306"/>
      <c r="D447" s="14"/>
      <c r="E447" s="24"/>
      <c r="F447" s="24"/>
      <c r="G447" s="13" t="s">
        <v>33</v>
      </c>
      <c r="H447" s="13">
        <v>60772519</v>
      </c>
      <c r="I447" s="13">
        <v>591100</v>
      </c>
      <c r="J447" s="14" t="s">
        <v>1</v>
      </c>
      <c r="K447" s="29">
        <f>K444+K441+K438+K435</f>
        <v>351000</v>
      </c>
      <c r="L447" s="7">
        <f>L444+L441+L438+L435</f>
        <v>40000</v>
      </c>
      <c r="M447" s="7">
        <f t="shared" ref="M447" si="275">M444+M441+M438+M435</f>
        <v>40000</v>
      </c>
      <c r="N447" s="7">
        <f>N444+N438</f>
        <v>25000</v>
      </c>
      <c r="O447" s="7">
        <f t="shared" ref="O447:R447" si="276">O444+O438</f>
        <v>25000</v>
      </c>
      <c r="P447" s="7">
        <f t="shared" si="276"/>
        <v>25000</v>
      </c>
      <c r="Q447" s="7">
        <f t="shared" si="276"/>
        <v>20000</v>
      </c>
      <c r="R447" s="7">
        <f t="shared" si="276"/>
        <v>20000</v>
      </c>
      <c r="S447" s="3" t="s">
        <v>11</v>
      </c>
      <c r="T447" s="7"/>
      <c r="U447" s="7"/>
      <c r="V447" s="7"/>
      <c r="W447" s="7"/>
      <c r="X447" s="7"/>
      <c r="Y447" s="7"/>
      <c r="Z447" s="501"/>
      <c r="AA447" s="540"/>
      <c r="AB447" s="40"/>
    </row>
    <row r="448" spans="1:46" s="2" customFormat="1" x14ac:dyDescent="0.25">
      <c r="A448" s="26"/>
      <c r="B448" s="26"/>
      <c r="C448" s="306"/>
      <c r="D448" s="14"/>
      <c r="E448" s="24"/>
      <c r="F448" s="24"/>
      <c r="G448" s="15"/>
      <c r="H448" s="13">
        <v>60772519</v>
      </c>
      <c r="I448" s="153">
        <v>595100</v>
      </c>
      <c r="J448" s="18" t="s">
        <v>2</v>
      </c>
      <c r="K448" s="30">
        <f>K445+K442+K439+K436</f>
        <v>68013.75</v>
      </c>
      <c r="L448" s="16">
        <f>L445+L442+L439+L436</f>
        <v>7537.5</v>
      </c>
      <c r="M448" s="16">
        <f t="shared" ref="M448" si="277">M445+M442+M439+M436</f>
        <v>5962.49</v>
      </c>
      <c r="N448" s="16">
        <f>N445+N439</f>
        <v>4703.13</v>
      </c>
      <c r="O448" s="16">
        <f t="shared" ref="O448:R448" si="278">O445+O439</f>
        <v>3734.37</v>
      </c>
      <c r="P448" s="16">
        <f t="shared" si="278"/>
        <v>2625</v>
      </c>
      <c r="Q448" s="16">
        <f t="shared" si="278"/>
        <v>1500</v>
      </c>
      <c r="R448" s="16">
        <f t="shared" si="278"/>
        <v>500</v>
      </c>
      <c r="S448" s="20" t="s">
        <v>11</v>
      </c>
      <c r="T448" s="16"/>
      <c r="U448" s="16"/>
      <c r="V448" s="16"/>
      <c r="W448" s="16"/>
      <c r="X448" s="16"/>
      <c r="Y448" s="16"/>
      <c r="Z448" s="502"/>
      <c r="AA448" s="541"/>
      <c r="AB448" s="56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</row>
    <row r="449" spans="1:46" s="8" customFormat="1" ht="13.8" thickBot="1" x14ac:dyDescent="0.3">
      <c r="A449" s="122"/>
      <c r="B449" s="122"/>
      <c r="C449" s="307"/>
      <c r="D449" s="87"/>
      <c r="E449" s="87"/>
      <c r="F449" s="87"/>
      <c r="G449" s="87"/>
      <c r="H449" s="87"/>
      <c r="I449" s="87"/>
      <c r="J449" s="50" t="s">
        <v>5</v>
      </c>
      <c r="K449" s="51">
        <f>K448+K447</f>
        <v>419013.75</v>
      </c>
      <c r="L449" s="46">
        <f>L448+L447</f>
        <v>47537.5</v>
      </c>
      <c r="M449" s="46">
        <f t="shared" ref="M449" si="279">M448+M447</f>
        <v>45962.49</v>
      </c>
      <c r="N449" s="46">
        <f t="shared" ref="N449" si="280">N448+N447</f>
        <v>29703.13</v>
      </c>
      <c r="O449" s="46">
        <f t="shared" ref="O449" si="281">O448+O447</f>
        <v>28734.37</v>
      </c>
      <c r="P449" s="46">
        <f t="shared" ref="P449" si="282">P448+P447</f>
        <v>27625</v>
      </c>
      <c r="Q449" s="46">
        <f t="shared" ref="Q449" si="283">Q448+Q447</f>
        <v>21500</v>
      </c>
      <c r="R449" s="46">
        <f t="shared" ref="R449" si="284">R448+R447</f>
        <v>20500</v>
      </c>
      <c r="S449" s="47" t="s">
        <v>11</v>
      </c>
      <c r="T449" s="46"/>
      <c r="U449" s="46"/>
      <c r="V449" s="46"/>
      <c r="W449" s="46"/>
      <c r="X449" s="46"/>
      <c r="Y449" s="46"/>
      <c r="Z449" s="503"/>
      <c r="AA449" s="542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</row>
    <row r="450" spans="1:46" s="6" customFormat="1" x14ac:dyDescent="0.25">
      <c r="A450" s="26" t="s">
        <v>99</v>
      </c>
      <c r="B450" s="26" t="s">
        <v>96</v>
      </c>
      <c r="C450" s="306"/>
      <c r="D450" s="10" t="s">
        <v>4</v>
      </c>
      <c r="E450" s="25">
        <v>39370</v>
      </c>
      <c r="F450" s="25" t="s">
        <v>269</v>
      </c>
      <c r="G450" s="313" t="s">
        <v>186</v>
      </c>
      <c r="H450" s="313">
        <v>61315140</v>
      </c>
      <c r="I450" s="313">
        <v>584002</v>
      </c>
      <c r="J450" s="2" t="s">
        <v>1</v>
      </c>
      <c r="K450" s="27">
        <v>961000</v>
      </c>
      <c r="L450" s="4">
        <v>55000</v>
      </c>
      <c r="M450" s="4">
        <v>55000</v>
      </c>
      <c r="N450" s="4">
        <v>55000</v>
      </c>
      <c r="O450" s="4">
        <v>50000</v>
      </c>
      <c r="P450" s="4">
        <v>50000</v>
      </c>
      <c r="Q450" s="4">
        <v>50000</v>
      </c>
      <c r="R450" s="4">
        <v>50000</v>
      </c>
      <c r="S450" s="4">
        <v>50000</v>
      </c>
      <c r="T450" s="4">
        <v>50000</v>
      </c>
      <c r="U450" s="4">
        <v>50000</v>
      </c>
      <c r="V450" s="4">
        <v>50000</v>
      </c>
      <c r="W450" s="4">
        <v>45000</v>
      </c>
      <c r="X450" s="4">
        <v>45000</v>
      </c>
      <c r="Y450" s="4">
        <v>45000</v>
      </c>
      <c r="Z450" s="504">
        <v>40000</v>
      </c>
      <c r="AA450" s="543">
        <v>30000</v>
      </c>
      <c r="AB450" s="4">
        <v>10000</v>
      </c>
      <c r="AC450" s="2" t="s">
        <v>11</v>
      </c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1:46" s="6" customFormat="1" x14ac:dyDescent="0.25">
      <c r="A451" s="400" t="s">
        <v>948</v>
      </c>
      <c r="B451" s="26"/>
      <c r="C451" s="306"/>
      <c r="D451" s="84"/>
      <c r="E451" s="25" t="s">
        <v>12</v>
      </c>
      <c r="F451" s="25"/>
      <c r="G451" s="12" t="s">
        <v>440</v>
      </c>
      <c r="H451" s="12"/>
      <c r="I451" s="12"/>
      <c r="J451" s="17" t="s">
        <v>2</v>
      </c>
      <c r="K451" s="28">
        <v>381170</v>
      </c>
      <c r="L451" s="11">
        <v>31857.5</v>
      </c>
      <c r="M451" s="11">
        <v>29691.88</v>
      </c>
      <c r="N451" s="11">
        <f>14313.12+13247.5</f>
        <v>27560.620000000003</v>
      </c>
      <c r="O451" s="11">
        <f>13247.5+12278.75</f>
        <v>25526.25</v>
      </c>
      <c r="P451" s="142">
        <f>12278.75+11028.75</f>
        <v>23307.5</v>
      </c>
      <c r="Q451" s="142">
        <f>11028.75+9778.75</f>
        <v>20807.5</v>
      </c>
      <c r="R451" s="142">
        <f>9778.75+8528.75</f>
        <v>18307.5</v>
      </c>
      <c r="S451" s="142">
        <f>8528.75+7503.75</f>
        <v>16032.5</v>
      </c>
      <c r="T451" s="142">
        <f>7503.75+6478.75</f>
        <v>13982.5</v>
      </c>
      <c r="U451" s="11">
        <f>6478.75+5453.75</f>
        <v>11932.5</v>
      </c>
      <c r="V451" s="11">
        <f>5453.75+4428.75</f>
        <v>9882.5</v>
      </c>
      <c r="W451" s="11">
        <f>4428.75+3506.25</f>
        <v>7935</v>
      </c>
      <c r="X451" s="11">
        <f>3506.25+2578.13</f>
        <v>6084.38</v>
      </c>
      <c r="Y451" s="11">
        <f>2578.12+1650</f>
        <v>4228.12</v>
      </c>
      <c r="Z451" s="505">
        <f>1650+825</f>
        <v>2475</v>
      </c>
      <c r="AA451" s="544">
        <f>825+206.25</f>
        <v>1031.25</v>
      </c>
      <c r="AB451" s="11">
        <v>206.25</v>
      </c>
      <c r="AC451" s="17" t="s">
        <v>11</v>
      </c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</row>
    <row r="452" spans="1:46" s="6" customFormat="1" ht="13.8" thickBot="1" x14ac:dyDescent="0.3">
      <c r="A452" s="409" t="s">
        <v>1118</v>
      </c>
      <c r="B452" s="120"/>
      <c r="C452" s="307"/>
      <c r="D452" s="89"/>
      <c r="E452" s="90" t="s">
        <v>16</v>
      </c>
      <c r="F452" s="90" t="s">
        <v>407</v>
      </c>
      <c r="G452" s="144" t="s">
        <v>439</v>
      </c>
      <c r="H452" s="144"/>
      <c r="I452" s="144"/>
      <c r="J452" s="41" t="s">
        <v>6</v>
      </c>
      <c r="K452" s="42">
        <f>K451+K450</f>
        <v>1342170</v>
      </c>
      <c r="L452" s="43">
        <f>L451+L450</f>
        <v>86857.5</v>
      </c>
      <c r="M452" s="43">
        <f t="shared" ref="M452:N452" si="285">M451+M450</f>
        <v>84691.88</v>
      </c>
      <c r="N452" s="43">
        <f t="shared" si="285"/>
        <v>82560.62</v>
      </c>
      <c r="O452" s="43">
        <f>O451+O450</f>
        <v>75526.25</v>
      </c>
      <c r="P452" s="43">
        <f>P451+P450</f>
        <v>73307.5</v>
      </c>
      <c r="Q452" s="43">
        <f>Q451+Q450</f>
        <v>70807.5</v>
      </c>
      <c r="R452" s="43">
        <f t="shared" ref="R452:AB452" si="286">R451+R450</f>
        <v>68307.5</v>
      </c>
      <c r="S452" s="43">
        <f t="shared" si="286"/>
        <v>66032.5</v>
      </c>
      <c r="T452" s="43">
        <f t="shared" si="286"/>
        <v>63982.5</v>
      </c>
      <c r="U452" s="43">
        <f t="shared" si="286"/>
        <v>61932.5</v>
      </c>
      <c r="V452" s="43">
        <f t="shared" si="286"/>
        <v>59882.5</v>
      </c>
      <c r="W452" s="43">
        <f t="shared" si="286"/>
        <v>52935</v>
      </c>
      <c r="X452" s="43">
        <f t="shared" si="286"/>
        <v>51084.38</v>
      </c>
      <c r="Y452" s="43">
        <f t="shared" si="286"/>
        <v>49228.12</v>
      </c>
      <c r="Z452" s="499">
        <f t="shared" si="286"/>
        <v>42475</v>
      </c>
      <c r="AA452" s="538">
        <f t="shared" si="286"/>
        <v>31031.25</v>
      </c>
      <c r="AB452" s="43">
        <f t="shared" si="286"/>
        <v>10206.25</v>
      </c>
      <c r="AC452" s="41" t="s">
        <v>11</v>
      </c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</row>
    <row r="453" spans="1:46" s="6" customFormat="1" x14ac:dyDescent="0.25">
      <c r="A453" s="26" t="s">
        <v>99</v>
      </c>
      <c r="B453" s="26" t="s">
        <v>96</v>
      </c>
      <c r="C453" s="306"/>
      <c r="D453" s="10" t="s">
        <v>4</v>
      </c>
      <c r="E453" s="25">
        <v>39370</v>
      </c>
      <c r="F453" s="25" t="s">
        <v>269</v>
      </c>
      <c r="G453" s="313" t="s">
        <v>189</v>
      </c>
      <c r="H453" s="313">
        <v>61317143</v>
      </c>
      <c r="I453" s="313">
        <v>584002</v>
      </c>
      <c r="J453" s="2" t="s">
        <v>1</v>
      </c>
      <c r="K453" s="27">
        <v>395000</v>
      </c>
      <c r="L453" s="4">
        <v>20000</v>
      </c>
      <c r="M453" s="4">
        <v>20000</v>
      </c>
      <c r="N453" s="4">
        <v>20000</v>
      </c>
      <c r="O453" s="4">
        <v>20000</v>
      </c>
      <c r="P453" s="4">
        <v>20000</v>
      </c>
      <c r="Q453" s="4">
        <v>20000</v>
      </c>
      <c r="R453" s="4">
        <v>20000</v>
      </c>
      <c r="S453" s="4">
        <v>20000</v>
      </c>
      <c r="T453" s="4">
        <v>20000</v>
      </c>
      <c r="U453" s="4">
        <v>20000</v>
      </c>
      <c r="V453" s="4">
        <v>20000</v>
      </c>
      <c r="W453" s="4">
        <v>20000</v>
      </c>
      <c r="X453" s="4">
        <v>20000</v>
      </c>
      <c r="Y453" s="4">
        <v>20000</v>
      </c>
      <c r="Z453" s="504">
        <v>20000</v>
      </c>
      <c r="AA453" s="543">
        <v>15000</v>
      </c>
      <c r="AB453" s="4">
        <v>15000</v>
      </c>
      <c r="AC453" s="2" t="s">
        <v>11</v>
      </c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1:46" s="6" customFormat="1" x14ac:dyDescent="0.25">
      <c r="A454" s="400" t="s">
        <v>949</v>
      </c>
      <c r="B454" s="26"/>
      <c r="C454" s="306"/>
      <c r="D454" s="84"/>
      <c r="E454" s="25" t="s">
        <v>12</v>
      </c>
      <c r="F454" s="25"/>
      <c r="G454" s="12" t="s">
        <v>307</v>
      </c>
      <c r="H454" s="12"/>
      <c r="I454" s="12"/>
      <c r="J454" s="17" t="s">
        <v>2</v>
      </c>
      <c r="K454" s="28">
        <v>168981.25</v>
      </c>
      <c r="L454" s="11">
        <v>13537.5</v>
      </c>
      <c r="M454" s="11">
        <v>12750</v>
      </c>
      <c r="N454" s="11">
        <f>6181.25+5793.75</f>
        <v>11975</v>
      </c>
      <c r="O454" s="11">
        <f>5793.75+5406.25</f>
        <v>11200</v>
      </c>
      <c r="P454" s="142">
        <f>5406.25+4906.25</f>
        <v>10312.5</v>
      </c>
      <c r="Q454" s="142">
        <f>4906.25+4406.25</f>
        <v>9312.5</v>
      </c>
      <c r="R454" s="142">
        <f>4406.25+3906.25</f>
        <v>8312.5</v>
      </c>
      <c r="S454" s="142">
        <f>3906.25+3496.25</f>
        <v>7402.5</v>
      </c>
      <c r="T454" s="142">
        <f>3496.25+3086.25</f>
        <v>6582.5</v>
      </c>
      <c r="U454" s="11">
        <f>3086.25+2676.25</f>
        <v>5762.5</v>
      </c>
      <c r="V454" s="11">
        <f>2676.25+2266.25</f>
        <v>4942.5</v>
      </c>
      <c r="W454" s="11">
        <f>2266.25+1856.25</f>
        <v>4122.5</v>
      </c>
      <c r="X454" s="11">
        <f>1856.25+1443.75</f>
        <v>3300</v>
      </c>
      <c r="Y454" s="11">
        <f>1443.75+1031.25</f>
        <v>2475</v>
      </c>
      <c r="Z454" s="505">
        <f>1031.25+618.75</f>
        <v>1650</v>
      </c>
      <c r="AA454" s="544">
        <f>618.75+309.38</f>
        <v>928.13</v>
      </c>
      <c r="AB454" s="11">
        <v>309.37</v>
      </c>
      <c r="AC454" s="17" t="s">
        <v>11</v>
      </c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</row>
    <row r="455" spans="1:46" s="6" customFormat="1" ht="13.8" thickBot="1" x14ac:dyDescent="0.3">
      <c r="A455" s="409" t="s">
        <v>1118</v>
      </c>
      <c r="B455" s="120"/>
      <c r="C455" s="307"/>
      <c r="D455" s="89"/>
      <c r="E455" s="90" t="s">
        <v>16</v>
      </c>
      <c r="F455" s="90" t="s">
        <v>407</v>
      </c>
      <c r="G455" s="124"/>
      <c r="H455" s="124"/>
      <c r="I455" s="124"/>
      <c r="J455" s="41" t="s">
        <v>6</v>
      </c>
      <c r="K455" s="42">
        <f>K454+K453</f>
        <v>563981.25</v>
      </c>
      <c r="L455" s="43">
        <f>L454+L453</f>
        <v>33537.5</v>
      </c>
      <c r="M455" s="43">
        <f t="shared" ref="M455:N455" si="287">M454+M453</f>
        <v>32750</v>
      </c>
      <c r="N455" s="43">
        <f t="shared" si="287"/>
        <v>31975</v>
      </c>
      <c r="O455" s="43">
        <f>O454+O453</f>
        <v>31200</v>
      </c>
      <c r="P455" s="43">
        <f>P454+P453</f>
        <v>30312.5</v>
      </c>
      <c r="Q455" s="43">
        <f>Q454+Q453</f>
        <v>29312.5</v>
      </c>
      <c r="R455" s="43">
        <f t="shared" ref="R455:AB455" si="288">R454+R453</f>
        <v>28312.5</v>
      </c>
      <c r="S455" s="43">
        <f t="shared" si="288"/>
        <v>27402.5</v>
      </c>
      <c r="T455" s="43">
        <f t="shared" si="288"/>
        <v>26582.5</v>
      </c>
      <c r="U455" s="43">
        <f t="shared" si="288"/>
        <v>25762.5</v>
      </c>
      <c r="V455" s="43">
        <f t="shared" si="288"/>
        <v>24942.5</v>
      </c>
      <c r="W455" s="43">
        <f t="shared" si="288"/>
        <v>24122.5</v>
      </c>
      <c r="X455" s="43">
        <f t="shared" si="288"/>
        <v>23300</v>
      </c>
      <c r="Y455" s="43">
        <f t="shared" si="288"/>
        <v>22475</v>
      </c>
      <c r="Z455" s="499">
        <f t="shared" si="288"/>
        <v>21650</v>
      </c>
      <c r="AA455" s="538">
        <f t="shared" si="288"/>
        <v>15928.13</v>
      </c>
      <c r="AB455" s="43">
        <f t="shared" si="288"/>
        <v>15309.37</v>
      </c>
      <c r="AC455" s="41" t="s">
        <v>11</v>
      </c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</row>
    <row r="456" spans="1:46" s="6" customFormat="1" x14ac:dyDescent="0.25">
      <c r="A456" s="26" t="s">
        <v>4</v>
      </c>
      <c r="B456" s="26" t="s">
        <v>97</v>
      </c>
      <c r="C456" s="306"/>
      <c r="D456" s="10" t="s">
        <v>4</v>
      </c>
      <c r="E456" s="25">
        <v>39370</v>
      </c>
      <c r="F456" s="25" t="s">
        <v>267</v>
      </c>
      <c r="G456" s="316" t="s">
        <v>26</v>
      </c>
      <c r="H456" s="316"/>
      <c r="I456" s="316"/>
      <c r="J456" s="2" t="s">
        <v>1</v>
      </c>
      <c r="K456" s="27">
        <v>200000</v>
      </c>
      <c r="L456" s="4">
        <v>10000</v>
      </c>
      <c r="M456" s="4">
        <v>10000</v>
      </c>
      <c r="N456" s="4">
        <v>10000</v>
      </c>
      <c r="O456" s="4">
        <v>10000</v>
      </c>
      <c r="P456" s="4">
        <v>10000</v>
      </c>
      <c r="Q456" s="4">
        <v>10000</v>
      </c>
      <c r="R456" s="4">
        <v>10000</v>
      </c>
      <c r="S456" s="4">
        <v>10000</v>
      </c>
      <c r="T456" s="4">
        <v>10000</v>
      </c>
      <c r="U456" s="4">
        <v>10000</v>
      </c>
      <c r="V456" s="4">
        <v>10000</v>
      </c>
      <c r="W456" s="4">
        <v>10000</v>
      </c>
      <c r="X456" s="4">
        <v>10000</v>
      </c>
      <c r="Y456" s="4">
        <v>10000</v>
      </c>
      <c r="Z456" s="504">
        <v>10000</v>
      </c>
      <c r="AA456" s="543">
        <v>10000</v>
      </c>
      <c r="AB456" s="4">
        <v>10000</v>
      </c>
      <c r="AC456" s="2" t="s">
        <v>11</v>
      </c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1:46" s="6" customFormat="1" x14ac:dyDescent="0.25">
      <c r="A457" s="400" t="s">
        <v>950</v>
      </c>
      <c r="B457" s="26"/>
      <c r="C457" s="407"/>
      <c r="D457" s="84"/>
      <c r="E457" s="317" t="s">
        <v>13</v>
      </c>
      <c r="F457" s="25"/>
      <c r="G457" s="12" t="s">
        <v>306</v>
      </c>
      <c r="H457" s="12"/>
      <c r="I457" s="12"/>
      <c r="J457" s="17" t="s">
        <v>2</v>
      </c>
      <c r="K457" s="28">
        <v>88400</v>
      </c>
      <c r="L457" s="11">
        <v>6975</v>
      </c>
      <c r="M457" s="11">
        <v>6581.25</v>
      </c>
      <c r="N457" s="11">
        <f>3193.75+3000</f>
        <v>6193.75</v>
      </c>
      <c r="O457" s="11">
        <f>3000+2806.25</f>
        <v>5806.25</v>
      </c>
      <c r="P457" s="142">
        <f>2806.25+2556.25</f>
        <v>5362.5</v>
      </c>
      <c r="Q457" s="142">
        <f>2556.25+2306.25</f>
        <v>4862.5</v>
      </c>
      <c r="R457" s="142">
        <f>2306.25+2056.25</f>
        <v>4362.5</v>
      </c>
      <c r="S457" s="142">
        <f>2056.25+1851.25</f>
        <v>3907.5</v>
      </c>
      <c r="T457" s="142">
        <f>1851.25+1646.25</f>
        <v>3497.5</v>
      </c>
      <c r="U457" s="11">
        <f>1646.25+1441.25</f>
        <v>3087.5</v>
      </c>
      <c r="V457" s="11">
        <f>1441.25+1236.25</f>
        <v>2677.5</v>
      </c>
      <c r="W457" s="11">
        <f>1236.25+1031.25</f>
        <v>2267.5</v>
      </c>
      <c r="X457" s="11">
        <f>1031.25+825</f>
        <v>1856.25</v>
      </c>
      <c r="Y457" s="11">
        <f>825+618.75</f>
        <v>1443.75</v>
      </c>
      <c r="Z457" s="505">
        <f>618.75+412.5</f>
        <v>1031.25</v>
      </c>
      <c r="AA457" s="544">
        <f>412.5+206.25</f>
        <v>618.75</v>
      </c>
      <c r="AB457" s="11">
        <v>206.25</v>
      </c>
      <c r="AC457" s="17" t="s">
        <v>11</v>
      </c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</row>
    <row r="458" spans="1:46" s="6" customFormat="1" ht="13.8" thickBot="1" x14ac:dyDescent="0.3">
      <c r="A458" s="409" t="s">
        <v>1118</v>
      </c>
      <c r="B458" s="408"/>
      <c r="C458" s="307"/>
      <c r="D458" s="89"/>
      <c r="E458" s="90" t="s">
        <v>16</v>
      </c>
      <c r="F458" s="90" t="s">
        <v>407</v>
      </c>
      <c r="G458" s="124" t="s">
        <v>305</v>
      </c>
      <c r="H458" s="124"/>
      <c r="I458" s="124"/>
      <c r="J458" s="41" t="s">
        <v>6</v>
      </c>
      <c r="K458" s="42">
        <f>K457+K456</f>
        <v>288400</v>
      </c>
      <c r="L458" s="43">
        <f>L457+L456</f>
        <v>16975</v>
      </c>
      <c r="M458" s="43">
        <f t="shared" ref="M458:N458" si="289">M457+M456</f>
        <v>16581.25</v>
      </c>
      <c r="N458" s="43">
        <f t="shared" si="289"/>
        <v>16193.75</v>
      </c>
      <c r="O458" s="43">
        <f>O457+O456</f>
        <v>15806.25</v>
      </c>
      <c r="P458" s="43">
        <f>P457+P456</f>
        <v>15362.5</v>
      </c>
      <c r="Q458" s="43">
        <f>Q457+Q456</f>
        <v>14862.5</v>
      </c>
      <c r="R458" s="43">
        <f t="shared" ref="R458:AB458" si="290">R457+R456</f>
        <v>14362.5</v>
      </c>
      <c r="S458" s="43">
        <f t="shared" si="290"/>
        <v>13907.5</v>
      </c>
      <c r="T458" s="43">
        <f t="shared" si="290"/>
        <v>13497.5</v>
      </c>
      <c r="U458" s="43">
        <f t="shared" si="290"/>
        <v>13087.5</v>
      </c>
      <c r="V458" s="43">
        <f t="shared" si="290"/>
        <v>12677.5</v>
      </c>
      <c r="W458" s="43">
        <f t="shared" si="290"/>
        <v>12267.5</v>
      </c>
      <c r="X458" s="43">
        <f t="shared" si="290"/>
        <v>11856.25</v>
      </c>
      <c r="Y458" s="43">
        <f t="shared" si="290"/>
        <v>11443.75</v>
      </c>
      <c r="Z458" s="499">
        <f t="shared" si="290"/>
        <v>11031.25</v>
      </c>
      <c r="AA458" s="538">
        <f t="shared" si="290"/>
        <v>10618.75</v>
      </c>
      <c r="AB458" s="43">
        <f t="shared" si="290"/>
        <v>10206.25</v>
      </c>
      <c r="AC458" s="41" t="s">
        <v>11</v>
      </c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</row>
    <row r="459" spans="1:46" s="8" customFormat="1" x14ac:dyDescent="0.25">
      <c r="A459" s="121"/>
      <c r="B459" s="121"/>
      <c r="C459" s="306"/>
      <c r="D459" s="55"/>
      <c r="E459" s="55"/>
      <c r="F459" s="55"/>
      <c r="G459" s="9" t="s">
        <v>7</v>
      </c>
      <c r="H459" s="9">
        <v>61772519</v>
      </c>
      <c r="I459" s="9">
        <v>591100</v>
      </c>
      <c r="J459" s="10" t="s">
        <v>1</v>
      </c>
      <c r="K459" s="31">
        <f>K456+K453+K450</f>
        <v>1556000</v>
      </c>
      <c r="L459" s="7">
        <f>L456+L453+L450</f>
        <v>85000</v>
      </c>
      <c r="M459" s="7">
        <f t="shared" ref="M459:AB459" si="291">M456+M453+M450</f>
        <v>85000</v>
      </c>
      <c r="N459" s="7">
        <f t="shared" si="291"/>
        <v>85000</v>
      </c>
      <c r="O459" s="7">
        <f t="shared" si="291"/>
        <v>80000</v>
      </c>
      <c r="P459" s="7">
        <f t="shared" si="291"/>
        <v>80000</v>
      </c>
      <c r="Q459" s="7">
        <f t="shared" si="291"/>
        <v>80000</v>
      </c>
      <c r="R459" s="7">
        <f t="shared" si="291"/>
        <v>80000</v>
      </c>
      <c r="S459" s="7">
        <f t="shared" si="291"/>
        <v>80000</v>
      </c>
      <c r="T459" s="7">
        <f t="shared" si="291"/>
        <v>80000</v>
      </c>
      <c r="U459" s="7">
        <f t="shared" si="291"/>
        <v>80000</v>
      </c>
      <c r="V459" s="7">
        <f t="shared" si="291"/>
        <v>80000</v>
      </c>
      <c r="W459" s="7">
        <f t="shared" si="291"/>
        <v>75000</v>
      </c>
      <c r="X459" s="7">
        <f t="shared" si="291"/>
        <v>75000</v>
      </c>
      <c r="Y459" s="7">
        <f t="shared" si="291"/>
        <v>75000</v>
      </c>
      <c r="Z459" s="501">
        <f t="shared" si="291"/>
        <v>70000</v>
      </c>
      <c r="AA459" s="540">
        <f t="shared" si="291"/>
        <v>55000</v>
      </c>
      <c r="AB459" s="7">
        <f t="shared" si="291"/>
        <v>35000</v>
      </c>
      <c r="AC459" s="3" t="s">
        <v>11</v>
      </c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 s="8" customFormat="1" x14ac:dyDescent="0.25">
      <c r="A460" s="121"/>
      <c r="B460" s="121"/>
      <c r="C460" s="306"/>
      <c r="D460" s="10"/>
      <c r="E460" s="10"/>
      <c r="F460" s="10"/>
      <c r="G460" s="10"/>
      <c r="H460" s="9">
        <v>61772519</v>
      </c>
      <c r="I460" s="10">
        <v>595100</v>
      </c>
      <c r="J460" s="19" t="s">
        <v>2</v>
      </c>
      <c r="K460" s="32">
        <f>K457+K454+K451</f>
        <v>638551.25</v>
      </c>
      <c r="L460" s="16">
        <f>L457+L454+L451</f>
        <v>52370</v>
      </c>
      <c r="M460" s="16">
        <f t="shared" ref="M460:AB460" si="292">M457+M454+M451</f>
        <v>49023.130000000005</v>
      </c>
      <c r="N460" s="16">
        <f t="shared" si="292"/>
        <v>45729.37</v>
      </c>
      <c r="O460" s="16">
        <f t="shared" si="292"/>
        <v>42532.5</v>
      </c>
      <c r="P460" s="16">
        <f t="shared" si="292"/>
        <v>38982.5</v>
      </c>
      <c r="Q460" s="16">
        <f t="shared" si="292"/>
        <v>34982.5</v>
      </c>
      <c r="R460" s="16">
        <f t="shared" si="292"/>
        <v>30982.5</v>
      </c>
      <c r="S460" s="16">
        <f t="shared" si="292"/>
        <v>27342.5</v>
      </c>
      <c r="T460" s="16">
        <f t="shared" si="292"/>
        <v>24062.5</v>
      </c>
      <c r="U460" s="16">
        <f t="shared" si="292"/>
        <v>20782.5</v>
      </c>
      <c r="V460" s="16">
        <f t="shared" si="292"/>
        <v>17502.5</v>
      </c>
      <c r="W460" s="16">
        <f t="shared" si="292"/>
        <v>14325</v>
      </c>
      <c r="X460" s="16">
        <f t="shared" si="292"/>
        <v>11240.630000000001</v>
      </c>
      <c r="Y460" s="16">
        <f t="shared" si="292"/>
        <v>8146.87</v>
      </c>
      <c r="Z460" s="502">
        <f t="shared" si="292"/>
        <v>5156.25</v>
      </c>
      <c r="AA460" s="541">
        <f t="shared" si="292"/>
        <v>2578.13</v>
      </c>
      <c r="AB460" s="16">
        <f t="shared" si="292"/>
        <v>721.87</v>
      </c>
      <c r="AC460" s="20" t="s">
        <v>11</v>
      </c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</row>
    <row r="461" spans="1:46" s="8" customFormat="1" ht="13.8" thickBot="1" x14ac:dyDescent="0.3">
      <c r="A461" s="122"/>
      <c r="B461" s="122"/>
      <c r="C461" s="307"/>
      <c r="D461" s="91"/>
      <c r="E461" s="91"/>
      <c r="F461" s="91"/>
      <c r="G461" s="91"/>
      <c r="H461" s="91"/>
      <c r="I461" s="91"/>
      <c r="J461" s="52" t="s">
        <v>5</v>
      </c>
      <c r="K461" s="53">
        <f>K460+K459</f>
        <v>2194551.25</v>
      </c>
      <c r="L461" s="46">
        <f>L460+L459</f>
        <v>137370</v>
      </c>
      <c r="M461" s="46">
        <f t="shared" ref="M461:AB461" si="293">M460+M459</f>
        <v>134023.13</v>
      </c>
      <c r="N461" s="46">
        <f t="shared" si="293"/>
        <v>130729.37</v>
      </c>
      <c r="O461" s="46">
        <f t="shared" si="293"/>
        <v>122532.5</v>
      </c>
      <c r="P461" s="46">
        <f t="shared" si="293"/>
        <v>118982.5</v>
      </c>
      <c r="Q461" s="46">
        <f t="shared" si="293"/>
        <v>114982.5</v>
      </c>
      <c r="R461" s="46">
        <f t="shared" si="293"/>
        <v>110982.5</v>
      </c>
      <c r="S461" s="46">
        <f t="shared" si="293"/>
        <v>107342.5</v>
      </c>
      <c r="T461" s="46">
        <f t="shared" si="293"/>
        <v>104062.5</v>
      </c>
      <c r="U461" s="46">
        <f t="shared" si="293"/>
        <v>100782.5</v>
      </c>
      <c r="V461" s="46">
        <f t="shared" si="293"/>
        <v>97502.5</v>
      </c>
      <c r="W461" s="46">
        <f t="shared" si="293"/>
        <v>89325</v>
      </c>
      <c r="X461" s="46">
        <f t="shared" si="293"/>
        <v>86240.63</v>
      </c>
      <c r="Y461" s="46">
        <f t="shared" si="293"/>
        <v>83146.87</v>
      </c>
      <c r="Z461" s="503">
        <f t="shared" si="293"/>
        <v>75156.25</v>
      </c>
      <c r="AA461" s="542">
        <f t="shared" si="293"/>
        <v>57578.13</v>
      </c>
      <c r="AB461" s="46">
        <f t="shared" si="293"/>
        <v>35721.870000000003</v>
      </c>
      <c r="AC461" s="47" t="s">
        <v>11</v>
      </c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  <c r="AT461" s="47"/>
    </row>
    <row r="462" spans="1:46" s="3" customFormat="1" x14ac:dyDescent="0.25">
      <c r="A462" s="121"/>
      <c r="B462" s="121"/>
      <c r="C462" s="306"/>
      <c r="D462" s="102"/>
      <c r="E462" s="102"/>
      <c r="F462" s="102"/>
      <c r="G462" s="103" t="s">
        <v>517</v>
      </c>
      <c r="H462" s="103"/>
      <c r="I462" s="103"/>
      <c r="J462" s="104" t="s">
        <v>1</v>
      </c>
      <c r="K462" s="105">
        <f t="shared" ref="K462:R463" si="294">K459+K447+K432</f>
        <v>3028000</v>
      </c>
      <c r="L462" s="7">
        <f t="shared" si="294"/>
        <v>300000</v>
      </c>
      <c r="M462" s="7">
        <f t="shared" si="294"/>
        <v>295000</v>
      </c>
      <c r="N462" s="7">
        <f t="shared" si="294"/>
        <v>125000</v>
      </c>
      <c r="O462" s="7">
        <f t="shared" si="294"/>
        <v>120000</v>
      </c>
      <c r="P462" s="7">
        <f t="shared" si="294"/>
        <v>120000</v>
      </c>
      <c r="Q462" s="7">
        <f t="shared" si="294"/>
        <v>115000</v>
      </c>
      <c r="R462" s="7">
        <f t="shared" si="294"/>
        <v>115000</v>
      </c>
      <c r="S462" s="7">
        <f t="shared" ref="S462:AA462" si="295">S459+S432</f>
        <v>95000</v>
      </c>
      <c r="T462" s="7">
        <f t="shared" si="295"/>
        <v>95000</v>
      </c>
      <c r="U462" s="7">
        <f t="shared" si="295"/>
        <v>95000</v>
      </c>
      <c r="V462" s="7">
        <f t="shared" si="295"/>
        <v>95000</v>
      </c>
      <c r="W462" s="7">
        <f t="shared" si="295"/>
        <v>90000</v>
      </c>
      <c r="X462" s="7">
        <f t="shared" si="295"/>
        <v>90000</v>
      </c>
      <c r="Y462" s="7">
        <f t="shared" si="295"/>
        <v>90000</v>
      </c>
      <c r="Z462" s="501">
        <f t="shared" si="295"/>
        <v>80000</v>
      </c>
      <c r="AA462" s="540">
        <f t="shared" si="295"/>
        <v>65000</v>
      </c>
      <c r="AB462" s="7">
        <f>AB459</f>
        <v>35000</v>
      </c>
      <c r="AC462" s="3" t="s">
        <v>11</v>
      </c>
      <c r="AD462" s="7"/>
      <c r="AI462" s="7"/>
      <c r="AN462" s="7"/>
    </row>
    <row r="463" spans="1:46" s="3" customFormat="1" ht="13.8" thickBot="1" x14ac:dyDescent="0.3">
      <c r="A463" s="121"/>
      <c r="B463" s="121"/>
      <c r="C463" s="306"/>
      <c r="D463" s="104"/>
      <c r="E463" s="104"/>
      <c r="F463" s="104"/>
      <c r="G463" s="103"/>
      <c r="H463" s="103"/>
      <c r="I463" s="103"/>
      <c r="J463" s="106" t="s">
        <v>2</v>
      </c>
      <c r="K463" s="107">
        <f t="shared" si="294"/>
        <v>918935</v>
      </c>
      <c r="L463" s="22">
        <f t="shared" si="294"/>
        <v>78545</v>
      </c>
      <c r="M463" s="22">
        <f t="shared" si="294"/>
        <v>66829.350000000006</v>
      </c>
      <c r="N463" s="22">
        <f t="shared" si="294"/>
        <v>58691.880000000005</v>
      </c>
      <c r="O463" s="22">
        <f t="shared" si="294"/>
        <v>53944.990000000005</v>
      </c>
      <c r="P463" s="22">
        <f t="shared" si="294"/>
        <v>48620</v>
      </c>
      <c r="Q463" s="22">
        <f t="shared" si="294"/>
        <v>42745</v>
      </c>
      <c r="R463" s="22">
        <f t="shared" si="294"/>
        <v>36995</v>
      </c>
      <c r="S463" s="22">
        <f t="shared" ref="S463:AA463" si="296">S460+S433</f>
        <v>32172.5</v>
      </c>
      <c r="T463" s="22">
        <f t="shared" si="296"/>
        <v>28277.5</v>
      </c>
      <c r="U463" s="22">
        <f t="shared" si="296"/>
        <v>24382.5</v>
      </c>
      <c r="V463" s="22">
        <f t="shared" si="296"/>
        <v>20487.5</v>
      </c>
      <c r="W463" s="22">
        <f t="shared" si="296"/>
        <v>16695</v>
      </c>
      <c r="X463" s="22">
        <f t="shared" si="296"/>
        <v>12993.760000000002</v>
      </c>
      <c r="Y463" s="22">
        <f t="shared" si="296"/>
        <v>9281.24</v>
      </c>
      <c r="Z463" s="506">
        <f t="shared" si="296"/>
        <v>5775</v>
      </c>
      <c r="AA463" s="545">
        <f t="shared" si="296"/>
        <v>2784.38</v>
      </c>
      <c r="AB463" s="22">
        <f>AB460</f>
        <v>721.87</v>
      </c>
      <c r="AC463" s="23" t="s">
        <v>11</v>
      </c>
      <c r="AD463" s="22"/>
      <c r="AE463" s="23"/>
      <c r="AF463" s="23"/>
      <c r="AG463" s="23"/>
      <c r="AH463" s="23"/>
      <c r="AI463" s="22"/>
      <c r="AJ463" s="23"/>
      <c r="AK463" s="23"/>
      <c r="AL463" s="23"/>
      <c r="AM463" s="23"/>
      <c r="AN463" s="22"/>
      <c r="AO463" s="23"/>
      <c r="AP463" s="23"/>
      <c r="AQ463" s="23"/>
      <c r="AR463" s="23"/>
      <c r="AS463" s="23"/>
      <c r="AT463" s="23"/>
    </row>
    <row r="464" spans="1:46" s="6" customFormat="1" x14ac:dyDescent="0.25">
      <c r="A464" s="26"/>
      <c r="B464" s="26"/>
      <c r="C464" s="306"/>
      <c r="D464" s="108"/>
      <c r="E464" s="108"/>
      <c r="F464" s="108"/>
      <c r="G464" s="118"/>
      <c r="H464" s="118"/>
      <c r="I464" s="118"/>
      <c r="J464" s="109" t="s">
        <v>5</v>
      </c>
      <c r="K464" s="110">
        <f>K463+K462</f>
        <v>3946935</v>
      </c>
      <c r="L464" s="67">
        <f>L463+L462</f>
        <v>378545</v>
      </c>
      <c r="M464" s="67">
        <f t="shared" ref="M464" si="297">M463+M462</f>
        <v>361829.35</v>
      </c>
      <c r="N464" s="67">
        <f t="shared" ref="N464" si="298">N463+N462</f>
        <v>183691.88</v>
      </c>
      <c r="O464" s="67">
        <f t="shared" ref="O464" si="299">O463+O462</f>
        <v>173944.99</v>
      </c>
      <c r="P464" s="67">
        <f t="shared" ref="P464" si="300">P463+P462</f>
        <v>168620</v>
      </c>
      <c r="Q464" s="67">
        <f t="shared" ref="Q464" si="301">Q463+Q462</f>
        <v>157745</v>
      </c>
      <c r="R464" s="67">
        <f t="shared" ref="R464" si="302">R463+R462</f>
        <v>151995</v>
      </c>
      <c r="S464" s="67">
        <f t="shared" ref="S464" si="303">S463+S462</f>
        <v>127172.5</v>
      </c>
      <c r="T464" s="67">
        <f t="shared" ref="T464" si="304">T463+T462</f>
        <v>123277.5</v>
      </c>
      <c r="U464" s="67">
        <f t="shared" ref="U464" si="305">U463+U462</f>
        <v>119382.5</v>
      </c>
      <c r="V464" s="67">
        <f t="shared" ref="V464" si="306">V463+V462</f>
        <v>115487.5</v>
      </c>
      <c r="W464" s="67">
        <f t="shared" ref="W464" si="307">W463+W462</f>
        <v>106695</v>
      </c>
      <c r="X464" s="67">
        <f t="shared" ref="X464" si="308">X463+X462</f>
        <v>102993.76000000001</v>
      </c>
      <c r="Y464" s="67">
        <f t="shared" ref="Y464" si="309">Y463+Y462</f>
        <v>99281.24</v>
      </c>
      <c r="Z464" s="507">
        <f t="shared" ref="Z464" si="310">Z463+Z462</f>
        <v>85775</v>
      </c>
      <c r="AA464" s="546">
        <f t="shared" ref="AA464:AB464" si="311">AA463+AA462</f>
        <v>67784.38</v>
      </c>
      <c r="AB464" s="67">
        <f t="shared" si="311"/>
        <v>35721.870000000003</v>
      </c>
      <c r="AC464" s="68" t="s">
        <v>11</v>
      </c>
      <c r="AD464" s="67"/>
      <c r="AE464" s="69"/>
      <c r="AF464" s="69"/>
      <c r="AG464" s="69"/>
      <c r="AH464" s="69"/>
      <c r="AI464" s="67"/>
      <c r="AJ464" s="69"/>
      <c r="AK464" s="69"/>
      <c r="AL464" s="69"/>
      <c r="AM464" s="69"/>
      <c r="AN464" s="67"/>
      <c r="AO464" s="69"/>
      <c r="AP464" s="69"/>
      <c r="AQ464" s="69"/>
      <c r="AR464" s="69"/>
      <c r="AS464" s="69"/>
      <c r="AT464" s="69"/>
    </row>
    <row r="465" spans="1:46" s="2" customFormat="1" x14ac:dyDescent="0.25">
      <c r="A465" s="119"/>
      <c r="B465" s="119"/>
      <c r="C465" s="308"/>
      <c r="D465" s="49"/>
      <c r="E465" s="49"/>
      <c r="F465" s="49"/>
      <c r="G465" s="128" t="s">
        <v>114</v>
      </c>
      <c r="H465" s="128"/>
      <c r="I465" s="128"/>
      <c r="J465" s="48"/>
      <c r="K465" s="96"/>
      <c r="L465" s="97"/>
      <c r="M465" s="97"/>
      <c r="N465" s="97"/>
      <c r="O465" s="97"/>
      <c r="P465" s="98"/>
      <c r="Q465" s="98"/>
      <c r="R465" s="98"/>
      <c r="S465" s="98"/>
      <c r="T465" s="9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</row>
    <row r="466" spans="1:46" s="2" customFormat="1" x14ac:dyDescent="0.25">
      <c r="A466" s="26"/>
      <c r="B466" s="26" t="s">
        <v>96</v>
      </c>
      <c r="C466" s="306"/>
      <c r="D466" s="33" t="s">
        <v>3</v>
      </c>
      <c r="E466" s="34">
        <v>39979</v>
      </c>
      <c r="F466" s="34" t="s">
        <v>258</v>
      </c>
      <c r="G466" s="35" t="s">
        <v>368</v>
      </c>
      <c r="H466" s="35"/>
      <c r="I466" s="35"/>
      <c r="J466" s="2" t="s">
        <v>1</v>
      </c>
      <c r="K466" s="27">
        <v>83000</v>
      </c>
      <c r="L466" s="4">
        <v>20000</v>
      </c>
      <c r="M466" s="4">
        <v>20000</v>
      </c>
      <c r="N466" s="2" t="s">
        <v>11</v>
      </c>
      <c r="O466" s="4"/>
      <c r="P466" s="283"/>
      <c r="Q466" s="283"/>
      <c r="R466" s="283"/>
      <c r="S466" s="283"/>
      <c r="T466" s="283"/>
      <c r="Z466" s="490"/>
      <c r="AA466" s="60"/>
    </row>
    <row r="467" spans="1:46" s="2" customFormat="1" x14ac:dyDescent="0.25">
      <c r="A467" s="26"/>
      <c r="B467" s="26"/>
      <c r="C467" s="306"/>
      <c r="D467" s="33"/>
      <c r="E467" s="34" t="s">
        <v>12</v>
      </c>
      <c r="F467" s="34"/>
      <c r="G467" s="35" t="s">
        <v>169</v>
      </c>
      <c r="H467" s="35"/>
      <c r="I467" s="35"/>
      <c r="J467" s="17" t="s">
        <v>2</v>
      </c>
      <c r="K467" s="28">
        <v>4767.5</v>
      </c>
      <c r="L467" s="11">
        <v>950</v>
      </c>
      <c r="M467" s="11">
        <v>500</v>
      </c>
      <c r="N467" s="17" t="s">
        <v>11</v>
      </c>
      <c r="O467" s="11"/>
      <c r="P467" s="142"/>
      <c r="Q467" s="142"/>
      <c r="R467" s="142"/>
      <c r="S467" s="142"/>
      <c r="T467" s="142"/>
      <c r="U467" s="17"/>
      <c r="V467" s="17"/>
      <c r="W467" s="17"/>
      <c r="X467" s="17"/>
      <c r="Y467" s="17"/>
      <c r="Z467" s="491"/>
      <c r="AA467" s="532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</row>
    <row r="468" spans="1:46" s="6" customFormat="1" ht="13.8" thickBot="1" x14ac:dyDescent="0.3">
      <c r="A468" s="120"/>
      <c r="B468" s="120"/>
      <c r="C468" s="307"/>
      <c r="D468" s="85"/>
      <c r="E468" s="86" t="s">
        <v>17</v>
      </c>
      <c r="F468" s="86" t="s">
        <v>410</v>
      </c>
      <c r="G468" s="125"/>
      <c r="H468" s="125"/>
      <c r="I468" s="125"/>
      <c r="J468" s="41" t="s">
        <v>6</v>
      </c>
      <c r="K468" s="42">
        <f>K467+K466</f>
        <v>87767.5</v>
      </c>
      <c r="L468" s="43">
        <f>L467+L466</f>
        <v>20950</v>
      </c>
      <c r="M468" s="43">
        <f>M467+M466</f>
        <v>20500</v>
      </c>
      <c r="N468" s="41" t="s">
        <v>11</v>
      </c>
      <c r="O468" s="43"/>
      <c r="P468" s="43"/>
      <c r="Q468" s="43"/>
      <c r="R468" s="43"/>
      <c r="S468" s="43"/>
      <c r="T468" s="43"/>
      <c r="U468" s="41"/>
      <c r="V468" s="41"/>
      <c r="W468" s="41"/>
      <c r="X468" s="41"/>
      <c r="Y468" s="41"/>
      <c r="Z468" s="492"/>
      <c r="AA468" s="533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</row>
    <row r="469" spans="1:46" s="2" customFormat="1" x14ac:dyDescent="0.25">
      <c r="A469" s="26"/>
      <c r="B469" s="26" t="s">
        <v>96</v>
      </c>
      <c r="C469" s="306"/>
      <c r="D469" s="33" t="s">
        <v>3</v>
      </c>
      <c r="E469" s="34">
        <v>39979</v>
      </c>
      <c r="F469" s="34" t="s">
        <v>258</v>
      </c>
      <c r="G469" s="35" t="s">
        <v>168</v>
      </c>
      <c r="H469" s="35"/>
      <c r="I469" s="35"/>
      <c r="J469" s="2" t="s">
        <v>1</v>
      </c>
      <c r="K469" s="27">
        <v>24500</v>
      </c>
      <c r="L469" s="4">
        <v>5000</v>
      </c>
      <c r="M469" s="4">
        <v>5000</v>
      </c>
      <c r="N469" s="2" t="s">
        <v>11</v>
      </c>
      <c r="O469" s="4"/>
      <c r="P469" s="283"/>
      <c r="Q469" s="283"/>
      <c r="R469" s="283"/>
      <c r="S469" s="283"/>
      <c r="T469" s="283"/>
      <c r="Z469" s="490"/>
      <c r="AA469" s="60"/>
    </row>
    <row r="470" spans="1:46" s="2" customFormat="1" x14ac:dyDescent="0.25">
      <c r="A470" s="26"/>
      <c r="B470" s="26"/>
      <c r="C470" s="306"/>
      <c r="D470" s="33"/>
      <c r="E470" s="34" t="s">
        <v>12</v>
      </c>
      <c r="F470" s="34"/>
      <c r="G470" s="35" t="s">
        <v>442</v>
      </c>
      <c r="H470" s="35"/>
      <c r="I470" s="35"/>
      <c r="J470" s="17" t="s">
        <v>2</v>
      </c>
      <c r="K470" s="28">
        <v>1276.25</v>
      </c>
      <c r="L470" s="11">
        <v>237.5</v>
      </c>
      <c r="M470" s="11">
        <v>125</v>
      </c>
      <c r="N470" s="17" t="s">
        <v>11</v>
      </c>
      <c r="O470" s="11"/>
      <c r="P470" s="142"/>
      <c r="Q470" s="142"/>
      <c r="R470" s="142"/>
      <c r="S470" s="142"/>
      <c r="T470" s="142"/>
      <c r="U470" s="17"/>
      <c r="V470" s="17"/>
      <c r="W470" s="17"/>
      <c r="X470" s="17"/>
      <c r="Y470" s="17"/>
      <c r="Z470" s="491"/>
      <c r="AA470" s="532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</row>
    <row r="471" spans="1:46" s="6" customFormat="1" ht="13.8" thickBot="1" x14ac:dyDescent="0.3">
      <c r="A471" s="120"/>
      <c r="B471" s="120"/>
      <c r="C471" s="307"/>
      <c r="D471" s="85"/>
      <c r="E471" s="86" t="s">
        <v>17</v>
      </c>
      <c r="F471" s="86" t="s">
        <v>410</v>
      </c>
      <c r="G471" s="145" t="s">
        <v>443</v>
      </c>
      <c r="H471" s="141"/>
      <c r="I471" s="141"/>
      <c r="J471" s="41" t="s">
        <v>6</v>
      </c>
      <c r="K471" s="42">
        <f t="shared" ref="K471:M471" si="312">K470+K469</f>
        <v>25776.25</v>
      </c>
      <c r="L471" s="43">
        <f t="shared" si="312"/>
        <v>5237.5</v>
      </c>
      <c r="M471" s="43">
        <f t="shared" si="312"/>
        <v>5125</v>
      </c>
      <c r="N471" s="41" t="s">
        <v>11</v>
      </c>
      <c r="O471" s="43"/>
      <c r="P471" s="43"/>
      <c r="Q471" s="43"/>
      <c r="R471" s="43"/>
      <c r="S471" s="43"/>
      <c r="T471" s="43"/>
      <c r="U471" s="41"/>
      <c r="V471" s="41"/>
      <c r="W471" s="41"/>
      <c r="X471" s="41"/>
      <c r="Y471" s="41"/>
      <c r="Z471" s="492"/>
      <c r="AA471" s="533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</row>
    <row r="472" spans="1:46" s="2" customFormat="1" x14ac:dyDescent="0.25">
      <c r="A472" s="26"/>
      <c r="B472" s="26" t="s">
        <v>96</v>
      </c>
      <c r="C472" s="306"/>
      <c r="D472" s="33" t="s">
        <v>3</v>
      </c>
      <c r="E472" s="34">
        <v>39979</v>
      </c>
      <c r="F472" s="34" t="s">
        <v>269</v>
      </c>
      <c r="G472" s="35" t="s">
        <v>162</v>
      </c>
      <c r="H472" s="35">
        <v>31139151</v>
      </c>
      <c r="I472" s="35">
        <v>582014</v>
      </c>
      <c r="J472" s="2" t="s">
        <v>1</v>
      </c>
      <c r="K472" s="27">
        <v>25000</v>
      </c>
      <c r="L472" s="4">
        <v>5000</v>
      </c>
      <c r="M472" s="4">
        <v>5000</v>
      </c>
      <c r="N472" s="4">
        <v>5000</v>
      </c>
      <c r="O472" s="2" t="s">
        <v>11</v>
      </c>
      <c r="P472" s="283"/>
      <c r="Q472" s="283"/>
      <c r="R472" s="283"/>
      <c r="S472" s="283"/>
      <c r="T472" s="283"/>
      <c r="Z472" s="490"/>
      <c r="AA472" s="60"/>
    </row>
    <row r="473" spans="1:46" s="2" customFormat="1" x14ac:dyDescent="0.25">
      <c r="A473" s="26"/>
      <c r="B473" s="26"/>
      <c r="C473" s="306"/>
      <c r="D473" s="33"/>
      <c r="E473" s="34" t="s">
        <v>12</v>
      </c>
      <c r="F473" s="34"/>
      <c r="G473" s="35" t="s">
        <v>426</v>
      </c>
      <c r="H473" s="35"/>
      <c r="I473" s="35"/>
      <c r="J473" s="17" t="s">
        <v>2</v>
      </c>
      <c r="K473" s="28">
        <v>1862.5</v>
      </c>
      <c r="L473" s="11">
        <v>375</v>
      </c>
      <c r="M473" s="11">
        <v>262.5</v>
      </c>
      <c r="N473" s="11">
        <f>68.75+68.75</f>
        <v>137.5</v>
      </c>
      <c r="O473" s="17" t="s">
        <v>11</v>
      </c>
      <c r="P473" s="142"/>
      <c r="Q473" s="142"/>
      <c r="R473" s="142"/>
      <c r="S473" s="142"/>
      <c r="T473" s="142"/>
      <c r="U473" s="17"/>
      <c r="V473" s="17"/>
      <c r="W473" s="17"/>
      <c r="X473" s="17"/>
      <c r="Y473" s="17"/>
      <c r="Z473" s="491"/>
      <c r="AA473" s="532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</row>
    <row r="474" spans="1:46" s="6" customFormat="1" ht="13.8" thickBot="1" x14ac:dyDescent="0.3">
      <c r="A474" s="120"/>
      <c r="B474" s="120"/>
      <c r="C474" s="307"/>
      <c r="D474" s="85"/>
      <c r="E474" s="86" t="s">
        <v>161</v>
      </c>
      <c r="F474" s="86" t="s">
        <v>410</v>
      </c>
      <c r="G474" s="125" t="s">
        <v>538</v>
      </c>
      <c r="H474" s="145"/>
      <c r="I474" s="145"/>
      <c r="J474" s="41" t="s">
        <v>6</v>
      </c>
      <c r="K474" s="42">
        <f>K473+K472</f>
        <v>26862.5</v>
      </c>
      <c r="L474" s="43">
        <f>L473+L472</f>
        <v>5375</v>
      </c>
      <c r="M474" s="43">
        <f>M473+M472</f>
        <v>5262.5</v>
      </c>
      <c r="N474" s="43">
        <f>N473+N472</f>
        <v>5137.5</v>
      </c>
      <c r="O474" s="41" t="s">
        <v>11</v>
      </c>
      <c r="P474" s="43"/>
      <c r="Q474" s="43"/>
      <c r="R474" s="43"/>
      <c r="S474" s="43"/>
      <c r="T474" s="43"/>
      <c r="U474" s="41"/>
      <c r="V474" s="41"/>
      <c r="W474" s="41"/>
      <c r="X474" s="41"/>
      <c r="Y474" s="41"/>
      <c r="Z474" s="492"/>
      <c r="AA474" s="533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</row>
    <row r="475" spans="1:46" s="2" customFormat="1" x14ac:dyDescent="0.25">
      <c r="A475" s="26" t="s">
        <v>95</v>
      </c>
      <c r="B475" s="26" t="s">
        <v>96</v>
      </c>
      <c r="C475" s="306"/>
      <c r="D475" s="33" t="s">
        <v>3</v>
      </c>
      <c r="E475" s="34">
        <v>39979</v>
      </c>
      <c r="F475" s="34" t="s">
        <v>269</v>
      </c>
      <c r="G475" s="318" t="s">
        <v>117</v>
      </c>
      <c r="H475" s="318">
        <v>31300193</v>
      </c>
      <c r="I475" s="318">
        <v>543000</v>
      </c>
      <c r="J475" s="2" t="s">
        <v>1</v>
      </c>
      <c r="K475" s="27">
        <v>405000</v>
      </c>
      <c r="L475" s="4">
        <v>25000</v>
      </c>
      <c r="M475" s="4">
        <v>25000</v>
      </c>
      <c r="N475" s="4">
        <v>25000</v>
      </c>
      <c r="O475" s="4">
        <v>20000</v>
      </c>
      <c r="P475" s="283">
        <v>20000</v>
      </c>
      <c r="Q475" s="283">
        <v>20000</v>
      </c>
      <c r="R475" s="283">
        <v>20000</v>
      </c>
      <c r="S475" s="283">
        <v>20000</v>
      </c>
      <c r="T475" s="283">
        <v>20000</v>
      </c>
      <c r="U475" s="283">
        <v>20000</v>
      </c>
      <c r="V475" s="283">
        <v>20000</v>
      </c>
      <c r="W475" s="283">
        <v>20000</v>
      </c>
      <c r="X475" s="283">
        <v>20000</v>
      </c>
      <c r="Y475" s="283">
        <v>20000</v>
      </c>
      <c r="Z475" s="497">
        <v>20000</v>
      </c>
      <c r="AA475" s="536">
        <v>20000</v>
      </c>
      <c r="AB475" s="5">
        <v>20000</v>
      </c>
      <c r="AC475" s="135" t="s">
        <v>11</v>
      </c>
    </row>
    <row r="476" spans="1:46" s="2" customFormat="1" x14ac:dyDescent="0.25">
      <c r="A476" s="400" t="s">
        <v>951</v>
      </c>
      <c r="B476" s="26"/>
      <c r="C476" s="306"/>
      <c r="D476" s="33"/>
      <c r="E476" s="34" t="s">
        <v>12</v>
      </c>
      <c r="F476" s="34"/>
      <c r="G476" s="35" t="s">
        <v>133</v>
      </c>
      <c r="H476" s="35"/>
      <c r="I476" s="35"/>
      <c r="J476" s="17" t="s">
        <v>2</v>
      </c>
      <c r="K476" s="28">
        <v>154562.5</v>
      </c>
      <c r="L476" s="11">
        <v>13100</v>
      </c>
      <c r="M476" s="11">
        <v>12537.5</v>
      </c>
      <c r="N476" s="11">
        <f>5956.25+5956.25</f>
        <v>11912.5</v>
      </c>
      <c r="O476" s="11">
        <f>5612.5+5612.5</f>
        <v>11225</v>
      </c>
      <c r="P476" s="142">
        <f>5312.5+5312.5</f>
        <v>10625</v>
      </c>
      <c r="Q476" s="142">
        <f>4987.5+4987.5</f>
        <v>9975</v>
      </c>
      <c r="R476" s="142">
        <f>4650+4650</f>
        <v>9300</v>
      </c>
      <c r="S476" s="142">
        <f>4250+4250</f>
        <v>8500</v>
      </c>
      <c r="T476" s="142">
        <f>3850+3850</f>
        <v>7700</v>
      </c>
      <c r="U476" s="142">
        <f>3450+3450</f>
        <v>6900</v>
      </c>
      <c r="V476" s="142">
        <f>3050+3050</f>
        <v>6100</v>
      </c>
      <c r="W476" s="142">
        <f>2650+2650</f>
        <v>5300</v>
      </c>
      <c r="X476" s="142">
        <f>2250+2250</f>
        <v>4500</v>
      </c>
      <c r="Y476" s="142">
        <f>1800+1800</f>
        <v>3600</v>
      </c>
      <c r="Z476" s="500">
        <f>1350+1350</f>
        <v>2700</v>
      </c>
      <c r="AA476" s="539">
        <f>900+900</f>
        <v>1800</v>
      </c>
      <c r="AB476" s="21">
        <f>450+450</f>
        <v>900</v>
      </c>
      <c r="AC476" s="136" t="s">
        <v>11</v>
      </c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</row>
    <row r="477" spans="1:46" s="6" customFormat="1" ht="13.8" thickBot="1" x14ac:dyDescent="0.3">
      <c r="A477" s="409" t="s">
        <v>1114</v>
      </c>
      <c r="B477" s="120"/>
      <c r="C477" s="307"/>
      <c r="D477" s="85"/>
      <c r="E477" s="86" t="s">
        <v>161</v>
      </c>
      <c r="F477" s="86" t="s">
        <v>408</v>
      </c>
      <c r="G477" s="125"/>
      <c r="H477" s="125"/>
      <c r="I477" s="125"/>
      <c r="J477" s="41" t="s">
        <v>6</v>
      </c>
      <c r="K477" s="42">
        <f>K476+K475</f>
        <v>559562.5</v>
      </c>
      <c r="L477" s="43">
        <f>L476+L475</f>
        <v>38100</v>
      </c>
      <c r="M477" s="43">
        <f t="shared" ref="M477:N477" si="313">M476+M475</f>
        <v>37537.5</v>
      </c>
      <c r="N477" s="43">
        <f t="shared" si="313"/>
        <v>36912.5</v>
      </c>
      <c r="O477" s="43">
        <f>O476+O475</f>
        <v>31225</v>
      </c>
      <c r="P477" s="43">
        <f>P476+P475</f>
        <v>30625</v>
      </c>
      <c r="Q477" s="43">
        <f>Q476+Q475</f>
        <v>29975</v>
      </c>
      <c r="R477" s="43">
        <f t="shared" ref="R477:AB477" si="314">R476+R475</f>
        <v>29300</v>
      </c>
      <c r="S477" s="43">
        <f t="shared" si="314"/>
        <v>28500</v>
      </c>
      <c r="T477" s="43">
        <f t="shared" si="314"/>
        <v>27700</v>
      </c>
      <c r="U477" s="43">
        <f t="shared" si="314"/>
        <v>26900</v>
      </c>
      <c r="V477" s="43">
        <f t="shared" si="314"/>
        <v>26100</v>
      </c>
      <c r="W477" s="43">
        <f t="shared" si="314"/>
        <v>25300</v>
      </c>
      <c r="X477" s="43">
        <f t="shared" si="314"/>
        <v>24500</v>
      </c>
      <c r="Y477" s="43">
        <f t="shared" si="314"/>
        <v>23600</v>
      </c>
      <c r="Z477" s="499">
        <f t="shared" si="314"/>
        <v>22700</v>
      </c>
      <c r="AA477" s="538">
        <f t="shared" si="314"/>
        <v>21800</v>
      </c>
      <c r="AB477" s="43">
        <f t="shared" si="314"/>
        <v>20900</v>
      </c>
      <c r="AC477" s="41" t="s">
        <v>11</v>
      </c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</row>
    <row r="478" spans="1:46" s="2" customFormat="1" x14ac:dyDescent="0.25">
      <c r="A478" s="26" t="s">
        <v>95</v>
      </c>
      <c r="B478" s="26" t="s">
        <v>96</v>
      </c>
      <c r="C478" s="306"/>
      <c r="D478" s="33" t="s">
        <v>3</v>
      </c>
      <c r="E478" s="34">
        <v>39979</v>
      </c>
      <c r="F478" s="34" t="s">
        <v>269</v>
      </c>
      <c r="G478" s="35" t="s">
        <v>118</v>
      </c>
      <c r="H478" s="35">
        <v>31300193</v>
      </c>
      <c r="I478" s="35">
        <v>582010</v>
      </c>
      <c r="J478" s="2" t="s">
        <v>1</v>
      </c>
      <c r="K478" s="27">
        <v>51000</v>
      </c>
      <c r="L478" s="4">
        <v>5000</v>
      </c>
      <c r="M478" s="4">
        <v>5000</v>
      </c>
      <c r="N478" s="4">
        <v>5000</v>
      </c>
      <c r="O478" s="4">
        <v>5000</v>
      </c>
      <c r="P478" s="4">
        <v>5000</v>
      </c>
      <c r="Q478" s="4">
        <v>5000</v>
      </c>
      <c r="R478" s="4">
        <v>5000</v>
      </c>
      <c r="S478" s="4">
        <v>5000</v>
      </c>
      <c r="T478" s="367" t="s">
        <v>11</v>
      </c>
      <c r="U478" s="283"/>
      <c r="Z478" s="490"/>
      <c r="AA478" s="60"/>
    </row>
    <row r="479" spans="1:46" s="2" customFormat="1" x14ac:dyDescent="0.25">
      <c r="A479" s="400" t="s">
        <v>1100</v>
      </c>
      <c r="B479" s="26"/>
      <c r="C479" s="306"/>
      <c r="D479" s="33"/>
      <c r="E479" s="34" t="s">
        <v>12</v>
      </c>
      <c r="F479" s="34"/>
      <c r="G479" s="35" t="s">
        <v>119</v>
      </c>
      <c r="H479" s="35"/>
      <c r="I479" s="35"/>
      <c r="J479" s="17" t="s">
        <v>2</v>
      </c>
      <c r="K479" s="28">
        <v>9072.5</v>
      </c>
      <c r="L479" s="11">
        <v>1256.25</v>
      </c>
      <c r="M479" s="11">
        <v>1143.75</v>
      </c>
      <c r="N479" s="11">
        <f>509.38+509.37</f>
        <v>1018.75</v>
      </c>
      <c r="O479" s="11">
        <f>440.63+440.62</f>
        <v>881.25</v>
      </c>
      <c r="P479" s="142">
        <f>365.63+365.62</f>
        <v>731.25</v>
      </c>
      <c r="Q479" s="142">
        <f>284.38+284.37</f>
        <v>568.75</v>
      </c>
      <c r="R479" s="142">
        <f>200+200</f>
        <v>400</v>
      </c>
      <c r="S479" s="142">
        <f>100+100</f>
        <v>200</v>
      </c>
      <c r="T479" s="368" t="s">
        <v>11</v>
      </c>
      <c r="U479" s="142"/>
      <c r="V479" s="17"/>
      <c r="W479" s="17"/>
      <c r="X479" s="17"/>
      <c r="Y479" s="17"/>
      <c r="Z479" s="491"/>
      <c r="AA479" s="532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</row>
    <row r="480" spans="1:46" s="6" customFormat="1" ht="13.8" thickBot="1" x14ac:dyDescent="0.3">
      <c r="A480" s="120"/>
      <c r="B480" s="120"/>
      <c r="C480" s="307"/>
      <c r="D480" s="85"/>
      <c r="E480" s="86" t="s">
        <v>161</v>
      </c>
      <c r="F480" s="86" t="s">
        <v>410</v>
      </c>
      <c r="G480" s="125"/>
      <c r="H480" s="125"/>
      <c r="I480" s="125"/>
      <c r="J480" s="41" t="s">
        <v>6</v>
      </c>
      <c r="K480" s="42">
        <f>K479+K478</f>
        <v>60072.5</v>
      </c>
      <c r="L480" s="43">
        <f>L479+L478</f>
        <v>6256.25</v>
      </c>
      <c r="M480" s="43">
        <f t="shared" ref="M480:N480" si="315">M479+M478</f>
        <v>6143.75</v>
      </c>
      <c r="N480" s="43">
        <f t="shared" si="315"/>
        <v>6018.75</v>
      </c>
      <c r="O480" s="43">
        <f>O479+O478</f>
        <v>5881.25</v>
      </c>
      <c r="P480" s="43">
        <f>P479+P478</f>
        <v>5731.25</v>
      </c>
      <c r="Q480" s="43">
        <f>Q479+Q478</f>
        <v>5568.75</v>
      </c>
      <c r="R480" s="43">
        <f>R479+R478</f>
        <v>5400</v>
      </c>
      <c r="S480" s="43">
        <f>S479+S478</f>
        <v>5200</v>
      </c>
      <c r="T480" s="41" t="s">
        <v>11</v>
      </c>
      <c r="U480" s="43"/>
      <c r="V480" s="41"/>
      <c r="W480" s="41"/>
      <c r="X480" s="41"/>
      <c r="Y480" s="41"/>
      <c r="Z480" s="492"/>
      <c r="AA480" s="533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</row>
    <row r="481" spans="1:46" s="2" customFormat="1" x14ac:dyDescent="0.25">
      <c r="A481" s="26"/>
      <c r="B481" s="26" t="s">
        <v>96</v>
      </c>
      <c r="C481" s="306"/>
      <c r="D481" s="33" t="s">
        <v>3</v>
      </c>
      <c r="E481" s="34">
        <v>39979</v>
      </c>
      <c r="F481" s="34" t="s">
        <v>258</v>
      </c>
      <c r="G481" s="35" t="s">
        <v>141</v>
      </c>
      <c r="H481" s="35">
        <v>31220193</v>
      </c>
      <c r="I481" s="35">
        <v>543013</v>
      </c>
      <c r="J481" s="2" t="s">
        <v>1</v>
      </c>
      <c r="K481" s="27">
        <v>26500</v>
      </c>
      <c r="L481" s="4">
        <v>5000</v>
      </c>
      <c r="M481" s="4">
        <v>5000</v>
      </c>
      <c r="N481" s="2" t="s">
        <v>11</v>
      </c>
      <c r="O481" s="4"/>
      <c r="P481" s="283"/>
      <c r="Q481" s="283"/>
      <c r="R481" s="283"/>
      <c r="S481" s="283"/>
      <c r="T481" s="283"/>
      <c r="Z481" s="490"/>
      <c r="AA481" s="60"/>
    </row>
    <row r="482" spans="1:46" s="2" customFormat="1" x14ac:dyDescent="0.25">
      <c r="A482" s="26"/>
      <c r="B482" s="26"/>
      <c r="C482" s="306"/>
      <c r="D482" s="33"/>
      <c r="E482" s="34" t="s">
        <v>12</v>
      </c>
      <c r="F482" s="34"/>
      <c r="G482" s="35" t="s">
        <v>550</v>
      </c>
      <c r="H482" s="35"/>
      <c r="I482" s="35"/>
      <c r="J482" s="17" t="s">
        <v>2</v>
      </c>
      <c r="K482" s="28">
        <v>1321.25</v>
      </c>
      <c r="L482" s="11">
        <v>237.5</v>
      </c>
      <c r="M482" s="11">
        <v>125</v>
      </c>
      <c r="N482" s="17" t="s">
        <v>11</v>
      </c>
      <c r="O482" s="11"/>
      <c r="P482" s="142"/>
      <c r="Q482" s="142"/>
      <c r="R482" s="142"/>
      <c r="S482" s="142"/>
      <c r="T482" s="142"/>
      <c r="U482" s="17"/>
      <c r="V482" s="17"/>
      <c r="W482" s="17"/>
      <c r="X482" s="17"/>
      <c r="Y482" s="17"/>
      <c r="Z482" s="491"/>
      <c r="AA482" s="532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</row>
    <row r="483" spans="1:46" s="6" customFormat="1" ht="13.8" thickBot="1" x14ac:dyDescent="0.3">
      <c r="A483" s="120"/>
      <c r="B483" s="120"/>
      <c r="C483" s="307"/>
      <c r="D483" s="85"/>
      <c r="E483" s="86" t="s">
        <v>160</v>
      </c>
      <c r="F483" s="86" t="s">
        <v>410</v>
      </c>
      <c r="G483" s="125" t="s">
        <v>549</v>
      </c>
      <c r="H483" s="125"/>
      <c r="I483" s="125"/>
      <c r="J483" s="41" t="s">
        <v>6</v>
      </c>
      <c r="K483" s="42">
        <f>K482+K481</f>
        <v>27821.25</v>
      </c>
      <c r="L483" s="43">
        <f>L482+L481</f>
        <v>5237.5</v>
      </c>
      <c r="M483" s="43">
        <f>M482+M481</f>
        <v>5125</v>
      </c>
      <c r="N483" s="41" t="s">
        <v>11</v>
      </c>
      <c r="O483" s="43"/>
      <c r="P483" s="43"/>
      <c r="Q483" s="43"/>
      <c r="R483" s="43"/>
      <c r="S483" s="43"/>
      <c r="T483" s="43"/>
      <c r="U483" s="41"/>
      <c r="V483" s="41"/>
      <c r="W483" s="41"/>
      <c r="X483" s="41"/>
      <c r="Y483" s="41"/>
      <c r="Z483" s="492"/>
      <c r="AA483" s="533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</row>
    <row r="484" spans="1:46" s="2" customFormat="1" x14ac:dyDescent="0.25">
      <c r="A484" s="26" t="s">
        <v>95</v>
      </c>
      <c r="B484" s="26" t="s">
        <v>96</v>
      </c>
      <c r="C484" s="306"/>
      <c r="D484" s="33" t="s">
        <v>3</v>
      </c>
      <c r="E484" s="34">
        <v>39979</v>
      </c>
      <c r="F484" s="34" t="s">
        <v>346</v>
      </c>
      <c r="G484" s="35" t="s">
        <v>120</v>
      </c>
      <c r="H484" s="35"/>
      <c r="I484" s="35"/>
      <c r="J484" s="2" t="s">
        <v>1</v>
      </c>
      <c r="K484" s="27">
        <v>109000</v>
      </c>
      <c r="L484" s="4">
        <v>15000</v>
      </c>
      <c r="M484" s="4">
        <v>10000</v>
      </c>
      <c r="N484" s="4">
        <v>10000</v>
      </c>
      <c r="O484" s="4">
        <v>10000</v>
      </c>
      <c r="P484" s="283">
        <v>10000</v>
      </c>
      <c r="Q484" s="283">
        <v>10000</v>
      </c>
      <c r="R484" s="283">
        <v>10000</v>
      </c>
      <c r="S484" s="367" t="s">
        <v>11</v>
      </c>
      <c r="T484" s="283"/>
      <c r="U484" s="283"/>
      <c r="Z484" s="490"/>
      <c r="AA484" s="60"/>
    </row>
    <row r="485" spans="1:46" s="2" customFormat="1" x14ac:dyDescent="0.25">
      <c r="A485" s="26"/>
      <c r="B485" s="26"/>
      <c r="C485" s="306"/>
      <c r="D485" s="33"/>
      <c r="E485" s="34" t="s">
        <v>12</v>
      </c>
      <c r="F485" s="34"/>
      <c r="G485" s="35" t="s">
        <v>185</v>
      </c>
      <c r="H485" s="35"/>
      <c r="I485" s="35"/>
      <c r="J485" s="17" t="s">
        <v>2</v>
      </c>
      <c r="K485" s="28">
        <v>14865</v>
      </c>
      <c r="L485" s="11">
        <v>2225</v>
      </c>
      <c r="M485" s="11">
        <v>1887.5</v>
      </c>
      <c r="N485" s="11">
        <f>818.75+818.75</f>
        <v>1637.5</v>
      </c>
      <c r="O485" s="11">
        <f>681.25+681.25</f>
        <v>1362.5</v>
      </c>
      <c r="P485" s="142">
        <f>531.25+531.25</f>
        <v>1062.5</v>
      </c>
      <c r="Q485" s="142">
        <f>368.75+368.75</f>
        <v>737.5</v>
      </c>
      <c r="R485" s="142">
        <f>200+200</f>
        <v>400</v>
      </c>
      <c r="S485" s="368" t="s">
        <v>11</v>
      </c>
      <c r="T485" s="142"/>
      <c r="U485" s="142"/>
      <c r="V485" s="17"/>
      <c r="W485" s="17"/>
      <c r="X485" s="17"/>
      <c r="Y485" s="17"/>
      <c r="Z485" s="491"/>
      <c r="AA485" s="532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</row>
    <row r="486" spans="1:46" s="6" customFormat="1" ht="13.8" thickBot="1" x14ac:dyDescent="0.3">
      <c r="A486" s="120"/>
      <c r="B486" s="120"/>
      <c r="C486" s="307"/>
      <c r="D486" s="85"/>
      <c r="E486" s="86" t="s">
        <v>161</v>
      </c>
      <c r="F486" s="86" t="s">
        <v>410</v>
      </c>
      <c r="G486" s="125"/>
      <c r="H486" s="125"/>
      <c r="I486" s="125"/>
      <c r="J486" s="41" t="s">
        <v>6</v>
      </c>
      <c r="K486" s="42">
        <f>K485+K484</f>
        <v>123865</v>
      </c>
      <c r="L486" s="43">
        <f>L485+L484</f>
        <v>17225</v>
      </c>
      <c r="M486" s="43">
        <f t="shared" ref="M486:R486" si="316">M485+M484</f>
        <v>11887.5</v>
      </c>
      <c r="N486" s="43">
        <f t="shared" si="316"/>
        <v>11637.5</v>
      </c>
      <c r="O486" s="43">
        <f t="shared" si="316"/>
        <v>11362.5</v>
      </c>
      <c r="P486" s="43">
        <f t="shared" si="316"/>
        <v>11062.5</v>
      </c>
      <c r="Q486" s="43">
        <f t="shared" si="316"/>
        <v>10737.5</v>
      </c>
      <c r="R486" s="43">
        <f t="shared" si="316"/>
        <v>10400</v>
      </c>
      <c r="S486" s="41" t="s">
        <v>11</v>
      </c>
      <c r="T486" s="43"/>
      <c r="U486" s="43"/>
      <c r="V486" s="41"/>
      <c r="W486" s="41"/>
      <c r="X486" s="41"/>
      <c r="Y486" s="41"/>
      <c r="Z486" s="492"/>
      <c r="AA486" s="533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</row>
    <row r="487" spans="1:46" s="2" customFormat="1" x14ac:dyDescent="0.25">
      <c r="A487" s="26"/>
      <c r="B487" s="26" t="s">
        <v>96</v>
      </c>
      <c r="C487" s="306"/>
      <c r="D487" s="33" t="s">
        <v>3</v>
      </c>
      <c r="E487" s="34">
        <v>39979</v>
      </c>
      <c r="F487" s="34" t="s">
        <v>258</v>
      </c>
      <c r="G487" s="35" t="s">
        <v>388</v>
      </c>
      <c r="H487" s="35"/>
      <c r="I487" s="35"/>
      <c r="J487" s="2" t="s">
        <v>1</v>
      </c>
      <c r="K487" s="27">
        <v>80000</v>
      </c>
      <c r="L487" s="4">
        <v>20000</v>
      </c>
      <c r="M487" s="4">
        <v>20000</v>
      </c>
      <c r="N487" s="2" t="s">
        <v>11</v>
      </c>
      <c r="O487" s="4"/>
      <c r="P487" s="283"/>
      <c r="Q487" s="283"/>
      <c r="R487" s="283"/>
      <c r="S487" s="283"/>
      <c r="T487" s="283"/>
      <c r="Z487" s="490"/>
      <c r="AA487" s="60"/>
    </row>
    <row r="488" spans="1:46" s="2" customFormat="1" x14ac:dyDescent="0.25">
      <c r="A488" s="26"/>
      <c r="B488" s="26"/>
      <c r="C488" s="306"/>
      <c r="D488" s="33"/>
      <c r="E488" s="34" t="s">
        <v>12</v>
      </c>
      <c r="F488" s="34"/>
      <c r="G488" s="35" t="s">
        <v>444</v>
      </c>
      <c r="H488" s="35"/>
      <c r="I488" s="35"/>
      <c r="J488" s="17" t="s">
        <v>2</v>
      </c>
      <c r="K488" s="28">
        <v>4700</v>
      </c>
      <c r="L488" s="11">
        <v>950</v>
      </c>
      <c r="M488" s="11">
        <v>500</v>
      </c>
      <c r="N488" s="17" t="s">
        <v>11</v>
      </c>
      <c r="O488" s="11"/>
      <c r="P488" s="142"/>
      <c r="Q488" s="142"/>
      <c r="R488" s="142"/>
      <c r="S488" s="142"/>
      <c r="T488" s="142"/>
      <c r="U488" s="17"/>
      <c r="V488" s="17"/>
      <c r="W488" s="17"/>
      <c r="X488" s="17"/>
      <c r="Y488" s="17"/>
      <c r="Z488" s="491"/>
      <c r="AA488" s="532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</row>
    <row r="489" spans="1:46" s="6" customFormat="1" ht="13.8" thickBot="1" x14ac:dyDescent="0.3">
      <c r="A489" s="120"/>
      <c r="B489" s="120"/>
      <c r="C489" s="307"/>
      <c r="D489" s="85"/>
      <c r="E489" s="86" t="s">
        <v>160</v>
      </c>
      <c r="F489" s="86" t="s">
        <v>410</v>
      </c>
      <c r="G489" s="125" t="s">
        <v>606</v>
      </c>
      <c r="H489" s="125"/>
      <c r="I489" s="125"/>
      <c r="J489" s="41" t="s">
        <v>6</v>
      </c>
      <c r="K489" s="42">
        <f>K488+K487</f>
        <v>84700</v>
      </c>
      <c r="L489" s="43">
        <f>L488+L487</f>
        <v>20950</v>
      </c>
      <c r="M489" s="43">
        <f>M488+M487</f>
        <v>20500</v>
      </c>
      <c r="N489" s="41" t="s">
        <v>11</v>
      </c>
      <c r="O489" s="43"/>
      <c r="P489" s="43"/>
      <c r="Q489" s="43"/>
      <c r="R489" s="43"/>
      <c r="S489" s="43"/>
      <c r="T489" s="43"/>
      <c r="U489" s="41"/>
      <c r="V489" s="41"/>
      <c r="W489" s="41"/>
      <c r="X489" s="41"/>
      <c r="Y489" s="41"/>
      <c r="Z489" s="492"/>
      <c r="AA489" s="533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</row>
    <row r="490" spans="1:46" s="2" customFormat="1" x14ac:dyDescent="0.25">
      <c r="A490" s="26" t="s">
        <v>99</v>
      </c>
      <c r="B490" s="26" t="s">
        <v>96</v>
      </c>
      <c r="C490" s="306"/>
      <c r="D490" s="33" t="s">
        <v>3</v>
      </c>
      <c r="E490" s="34">
        <v>39979</v>
      </c>
      <c r="F490" s="34" t="s">
        <v>341</v>
      </c>
      <c r="G490" s="35" t="s">
        <v>205</v>
      </c>
      <c r="H490" s="35">
        <v>31422193</v>
      </c>
      <c r="I490" s="35">
        <v>586202</v>
      </c>
      <c r="J490" s="2" t="s">
        <v>1</v>
      </c>
      <c r="K490" s="27">
        <v>290000</v>
      </c>
      <c r="L490" s="4">
        <v>35000</v>
      </c>
      <c r="M490" s="4">
        <v>35000</v>
      </c>
      <c r="N490" s="4">
        <v>30000</v>
      </c>
      <c r="O490" s="4">
        <v>30000</v>
      </c>
      <c r="P490" s="283">
        <v>30000</v>
      </c>
      <c r="Q490" s="283">
        <v>30000</v>
      </c>
      <c r="R490" s="283">
        <v>30000</v>
      </c>
      <c r="S490" s="367" t="s">
        <v>11</v>
      </c>
      <c r="T490" s="283"/>
      <c r="U490" s="283"/>
      <c r="Z490" s="490"/>
      <c r="AA490" s="60"/>
    </row>
    <row r="491" spans="1:46" s="2" customFormat="1" x14ac:dyDescent="0.25">
      <c r="A491" s="26"/>
      <c r="B491" s="26"/>
      <c r="C491" s="306"/>
      <c r="D491" s="33"/>
      <c r="E491" s="34" t="s">
        <v>12</v>
      </c>
      <c r="F491" s="34"/>
      <c r="G491" s="35" t="s">
        <v>792</v>
      </c>
      <c r="H491" s="35"/>
      <c r="I491" s="35"/>
      <c r="J491" s="17" t="s">
        <v>2</v>
      </c>
      <c r="K491" s="28">
        <v>43475</v>
      </c>
      <c r="L491" s="11">
        <v>6575</v>
      </c>
      <c r="M491" s="11">
        <v>5787.5</v>
      </c>
      <c r="N491" s="11">
        <f>2456.25+2456.25</f>
        <v>4912.5</v>
      </c>
      <c r="O491" s="11">
        <f>2043.75+2043.75</f>
        <v>4087.5</v>
      </c>
      <c r="P491" s="11">
        <f>1593.75+1593.75</f>
        <v>3187.5</v>
      </c>
      <c r="Q491" s="11">
        <f>1106.25+1106.25</f>
        <v>2212.5</v>
      </c>
      <c r="R491" s="11">
        <f>600+600</f>
        <v>1200</v>
      </c>
      <c r="S491" s="368" t="s">
        <v>11</v>
      </c>
      <c r="T491" s="142"/>
      <c r="U491" s="142"/>
      <c r="V491" s="17"/>
      <c r="W491" s="17"/>
      <c r="X491" s="17"/>
      <c r="Y491" s="17"/>
      <c r="Z491" s="491"/>
      <c r="AA491" s="532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</row>
    <row r="492" spans="1:46" s="6" customFormat="1" ht="13.8" thickBot="1" x14ac:dyDescent="0.3">
      <c r="A492" s="120"/>
      <c r="B492" s="120"/>
      <c r="C492" s="307"/>
      <c r="D492" s="85"/>
      <c r="E492" s="86" t="s">
        <v>15</v>
      </c>
      <c r="F492" s="86" t="s">
        <v>410</v>
      </c>
      <c r="G492" s="141"/>
      <c r="H492" s="141"/>
      <c r="I492" s="141"/>
      <c r="J492" s="41" t="s">
        <v>6</v>
      </c>
      <c r="K492" s="42">
        <f>K491+K490</f>
        <v>333475</v>
      </c>
      <c r="L492" s="43">
        <f>L491+L490</f>
        <v>41575</v>
      </c>
      <c r="M492" s="43">
        <f t="shared" ref="M492:R492" si="317">M491+M490</f>
        <v>40787.5</v>
      </c>
      <c r="N492" s="43">
        <f t="shared" si="317"/>
        <v>34912.5</v>
      </c>
      <c r="O492" s="43">
        <f t="shared" si="317"/>
        <v>34087.5</v>
      </c>
      <c r="P492" s="43">
        <f t="shared" si="317"/>
        <v>33187.5</v>
      </c>
      <c r="Q492" s="43">
        <f t="shared" si="317"/>
        <v>32212.5</v>
      </c>
      <c r="R492" s="43">
        <f t="shared" si="317"/>
        <v>31200</v>
      </c>
      <c r="S492" s="41" t="s">
        <v>11</v>
      </c>
      <c r="T492" s="43"/>
      <c r="U492" s="43"/>
      <c r="V492" s="41"/>
      <c r="W492" s="41"/>
      <c r="X492" s="41"/>
      <c r="Y492" s="41"/>
      <c r="Z492" s="492"/>
      <c r="AA492" s="533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</row>
    <row r="493" spans="1:46" s="2" customFormat="1" x14ac:dyDescent="0.25">
      <c r="A493" s="26" t="s">
        <v>99</v>
      </c>
      <c r="B493" s="26" t="s">
        <v>96</v>
      </c>
      <c r="C493" s="306"/>
      <c r="D493" s="33" t="s">
        <v>3</v>
      </c>
      <c r="E493" s="34">
        <v>39979</v>
      </c>
      <c r="F493" s="34" t="s">
        <v>341</v>
      </c>
      <c r="G493" s="35" t="s">
        <v>206</v>
      </c>
      <c r="H493" s="35"/>
      <c r="I493" s="35"/>
      <c r="J493" s="2" t="s">
        <v>1</v>
      </c>
      <c r="K493" s="27">
        <v>250000</v>
      </c>
      <c r="L493" s="4">
        <v>25000</v>
      </c>
      <c r="M493" s="4">
        <v>25000</v>
      </c>
      <c r="N493" s="4">
        <v>25000</v>
      </c>
      <c r="O493" s="4">
        <v>25000</v>
      </c>
      <c r="P493" s="4">
        <v>25000</v>
      </c>
      <c r="Q493" s="4">
        <v>25000</v>
      </c>
      <c r="R493" s="4">
        <v>25000</v>
      </c>
      <c r="S493" s="4">
        <v>25000</v>
      </c>
      <c r="T493" s="367" t="s">
        <v>11</v>
      </c>
      <c r="U493" s="283"/>
      <c r="Z493" s="490"/>
      <c r="AA493" s="60"/>
    </row>
    <row r="494" spans="1:46" s="2" customFormat="1" x14ac:dyDescent="0.25">
      <c r="A494" s="26"/>
      <c r="B494" s="26"/>
      <c r="C494" s="306"/>
      <c r="D494" s="33"/>
      <c r="E494" s="34" t="s">
        <v>12</v>
      </c>
      <c r="F494" s="34"/>
      <c r="G494" s="35" t="s">
        <v>343</v>
      </c>
      <c r="H494" s="35"/>
      <c r="I494" s="35"/>
      <c r="J494" s="17" t="s">
        <v>2</v>
      </c>
      <c r="K494" s="28">
        <v>45250</v>
      </c>
      <c r="L494" s="11">
        <v>6281.25</v>
      </c>
      <c r="M494" s="11">
        <v>5718.75</v>
      </c>
      <c r="N494" s="11">
        <f>2546.88+2546.87</f>
        <v>5093.75</v>
      </c>
      <c r="O494" s="11">
        <f>2203.13+2203.12</f>
        <v>4406.25</v>
      </c>
      <c r="P494" s="11">
        <f>1828.13+1828.12</f>
        <v>3656.25</v>
      </c>
      <c r="Q494" s="11">
        <f>1421.88+1421.87</f>
        <v>2843.75</v>
      </c>
      <c r="R494" s="11">
        <f>1000+1000</f>
        <v>2000</v>
      </c>
      <c r="S494" s="11">
        <f>500+500</f>
        <v>1000</v>
      </c>
      <c r="T494" s="368" t="s">
        <v>11</v>
      </c>
      <c r="U494" s="142"/>
      <c r="V494" s="17"/>
      <c r="W494" s="17"/>
      <c r="X494" s="17"/>
      <c r="Y494" s="17"/>
      <c r="Z494" s="491"/>
      <c r="AA494" s="532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</row>
    <row r="495" spans="1:46" s="6" customFormat="1" ht="13.8" thickBot="1" x14ac:dyDescent="0.3">
      <c r="A495" s="120"/>
      <c r="B495" s="120"/>
      <c r="C495" s="307"/>
      <c r="D495" s="85"/>
      <c r="E495" s="86" t="s">
        <v>15</v>
      </c>
      <c r="F495" s="86" t="s">
        <v>410</v>
      </c>
      <c r="G495" s="125"/>
      <c r="H495" s="125"/>
      <c r="I495" s="125"/>
      <c r="J495" s="41" t="s">
        <v>6</v>
      </c>
      <c r="K495" s="42">
        <f>K494+K493</f>
        <v>295250</v>
      </c>
      <c r="L495" s="43">
        <f t="shared" ref="L495" si="318">L494+L493</f>
        <v>31281.25</v>
      </c>
      <c r="M495" s="43">
        <f t="shared" ref="M495" si="319">M494+M493</f>
        <v>30718.75</v>
      </c>
      <c r="N495" s="43">
        <f t="shared" ref="N495" si="320">N494+N493</f>
        <v>30093.75</v>
      </c>
      <c r="O495" s="43">
        <f t="shared" ref="O495" si="321">O494+O493</f>
        <v>29406.25</v>
      </c>
      <c r="P495" s="43">
        <f t="shared" ref="P495" si="322">P494+P493</f>
        <v>28656.25</v>
      </c>
      <c r="Q495" s="43">
        <f t="shared" ref="Q495" si="323">Q494+Q493</f>
        <v>27843.75</v>
      </c>
      <c r="R495" s="43">
        <f t="shared" ref="R495" si="324">R494+R493</f>
        <v>27000</v>
      </c>
      <c r="S495" s="43">
        <f t="shared" ref="S495" si="325">S494+S493</f>
        <v>26000</v>
      </c>
      <c r="T495" s="41" t="s">
        <v>11</v>
      </c>
      <c r="U495" s="43"/>
      <c r="V495" s="41"/>
      <c r="W495" s="41"/>
      <c r="X495" s="41"/>
      <c r="Y495" s="41"/>
      <c r="Z495" s="492"/>
      <c r="AA495" s="533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</row>
    <row r="496" spans="1:46" s="2" customFormat="1" x14ac:dyDescent="0.25">
      <c r="A496" s="26"/>
      <c r="B496" s="26" t="s">
        <v>96</v>
      </c>
      <c r="C496" s="306"/>
      <c r="D496" s="33" t="s">
        <v>3</v>
      </c>
      <c r="E496" s="34">
        <v>39979</v>
      </c>
      <c r="F496" s="34" t="s">
        <v>258</v>
      </c>
      <c r="G496" s="35" t="s">
        <v>177</v>
      </c>
      <c r="H496" s="35">
        <v>31422193</v>
      </c>
      <c r="I496" s="35">
        <v>582002</v>
      </c>
      <c r="J496" s="2" t="s">
        <v>1</v>
      </c>
      <c r="K496" s="27">
        <v>25500</v>
      </c>
      <c r="L496" s="4">
        <v>5000</v>
      </c>
      <c r="M496" s="4">
        <v>5000</v>
      </c>
      <c r="N496" s="2" t="s">
        <v>11</v>
      </c>
      <c r="O496" s="4"/>
      <c r="P496" s="283"/>
      <c r="Q496" s="283"/>
      <c r="R496" s="283"/>
      <c r="S496" s="283"/>
      <c r="T496" s="283"/>
      <c r="Z496" s="490"/>
      <c r="AA496" s="60"/>
    </row>
    <row r="497" spans="1:46" s="2" customFormat="1" x14ac:dyDescent="0.25">
      <c r="A497" s="26"/>
      <c r="B497" s="26"/>
      <c r="C497" s="306"/>
      <c r="D497" s="33"/>
      <c r="E497" s="34" t="s">
        <v>12</v>
      </c>
      <c r="F497" s="34"/>
      <c r="G497" s="35" t="s">
        <v>170</v>
      </c>
      <c r="H497" s="35"/>
      <c r="I497" s="35"/>
      <c r="J497" s="17" t="s">
        <v>2</v>
      </c>
      <c r="K497" s="28">
        <v>1298.75</v>
      </c>
      <c r="L497" s="11">
        <v>237.5</v>
      </c>
      <c r="M497" s="11">
        <v>125</v>
      </c>
      <c r="N497" s="17" t="s">
        <v>11</v>
      </c>
      <c r="O497" s="11"/>
      <c r="P497" s="142"/>
      <c r="Q497" s="142"/>
      <c r="R497" s="142"/>
      <c r="S497" s="142"/>
      <c r="T497" s="142"/>
      <c r="U497" s="17"/>
      <c r="V497" s="17"/>
      <c r="W497" s="17"/>
      <c r="X497" s="17"/>
      <c r="Y497" s="17"/>
      <c r="Z497" s="491"/>
      <c r="AA497" s="532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</row>
    <row r="498" spans="1:46" s="6" customFormat="1" ht="13.8" thickBot="1" x14ac:dyDescent="0.3">
      <c r="A498" s="120"/>
      <c r="B498" s="120"/>
      <c r="C498" s="307"/>
      <c r="D498" s="85"/>
      <c r="E498" s="86" t="s">
        <v>40</v>
      </c>
      <c r="F498" s="86" t="s">
        <v>410</v>
      </c>
      <c r="G498" s="125" t="s">
        <v>180</v>
      </c>
      <c r="H498" s="125"/>
      <c r="I498" s="125"/>
      <c r="J498" s="41" t="s">
        <v>6</v>
      </c>
      <c r="K498" s="42">
        <f>K497+K496</f>
        <v>26798.75</v>
      </c>
      <c r="L498" s="43">
        <f>L497+L496</f>
        <v>5237.5</v>
      </c>
      <c r="M498" s="43">
        <f>M497+M496</f>
        <v>5125</v>
      </c>
      <c r="N498" s="41" t="s">
        <v>11</v>
      </c>
      <c r="O498" s="43"/>
      <c r="P498" s="43"/>
      <c r="Q498" s="43"/>
      <c r="R498" s="43"/>
      <c r="S498" s="43"/>
      <c r="T498" s="43"/>
      <c r="U498" s="41"/>
      <c r="V498" s="41"/>
      <c r="W498" s="41"/>
      <c r="X498" s="41"/>
      <c r="Y498" s="41"/>
      <c r="Z498" s="492"/>
      <c r="AA498" s="533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</row>
    <row r="499" spans="1:46" s="2" customFormat="1" x14ac:dyDescent="0.25">
      <c r="A499" s="26" t="s">
        <v>101</v>
      </c>
      <c r="B499" s="26" t="s">
        <v>96</v>
      </c>
      <c r="C499" s="306"/>
      <c r="D499" s="33" t="s">
        <v>3</v>
      </c>
      <c r="E499" s="34">
        <v>39979</v>
      </c>
      <c r="F499" s="34" t="s">
        <v>269</v>
      </c>
      <c r="G499" s="35" t="s">
        <v>178</v>
      </c>
      <c r="H499" s="35">
        <v>31422193</v>
      </c>
      <c r="I499" s="35">
        <v>582002</v>
      </c>
      <c r="J499" s="2" t="s">
        <v>1</v>
      </c>
      <c r="K499" s="27">
        <v>134500</v>
      </c>
      <c r="L499" s="4">
        <v>10000</v>
      </c>
      <c r="M499" s="4">
        <v>10000</v>
      </c>
      <c r="N499" s="4">
        <v>10000</v>
      </c>
      <c r="O499" s="4">
        <v>10000</v>
      </c>
      <c r="P499" s="4">
        <v>10000</v>
      </c>
      <c r="Q499" s="4">
        <v>10000</v>
      </c>
      <c r="R499" s="4">
        <v>10000</v>
      </c>
      <c r="S499" s="4">
        <v>10000</v>
      </c>
      <c r="T499" s="4">
        <v>10000</v>
      </c>
      <c r="U499" s="4">
        <v>10000</v>
      </c>
      <c r="V499" s="4">
        <v>10000</v>
      </c>
      <c r="W499" s="2" t="s">
        <v>11</v>
      </c>
      <c r="Z499" s="490"/>
      <c r="AA499" s="60"/>
    </row>
    <row r="500" spans="1:46" s="2" customFormat="1" x14ac:dyDescent="0.25">
      <c r="A500" s="400" t="s">
        <v>952</v>
      </c>
      <c r="B500" s="26"/>
      <c r="C500" s="306"/>
      <c r="D500" s="33"/>
      <c r="E500" s="34" t="s">
        <v>12</v>
      </c>
      <c r="F500" s="34"/>
      <c r="G500" s="35" t="s">
        <v>171</v>
      </c>
      <c r="H500" s="35"/>
      <c r="I500" s="35"/>
      <c r="J500" s="17" t="s">
        <v>2</v>
      </c>
      <c r="K500" s="28">
        <v>32601.25</v>
      </c>
      <c r="L500" s="11">
        <v>3712.5</v>
      </c>
      <c r="M500" s="11">
        <v>3487.5</v>
      </c>
      <c r="N500" s="11">
        <f>1618.75+1618.75</f>
        <v>3237.5</v>
      </c>
      <c r="O500" s="11">
        <f>1481.25+1481.25</f>
        <v>2962.5</v>
      </c>
      <c r="P500" s="11">
        <f>1331.25+1331.25</f>
        <v>2662.5</v>
      </c>
      <c r="Q500" s="11">
        <f>1168.75+1168.75</f>
        <v>2337.5</v>
      </c>
      <c r="R500" s="11">
        <f>1000+1000</f>
        <v>2000</v>
      </c>
      <c r="S500" s="11">
        <f>800+800</f>
        <v>1600</v>
      </c>
      <c r="T500" s="11">
        <f>600+600</f>
        <v>1200</v>
      </c>
      <c r="U500" s="11">
        <f>400+400</f>
        <v>800</v>
      </c>
      <c r="V500" s="11">
        <f>200+200</f>
        <v>400</v>
      </c>
      <c r="W500" s="17" t="s">
        <v>11</v>
      </c>
      <c r="X500" s="17"/>
      <c r="Y500" s="17"/>
      <c r="Z500" s="491"/>
      <c r="AA500" s="532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</row>
    <row r="501" spans="1:46" s="6" customFormat="1" ht="13.8" thickBot="1" x14ac:dyDescent="0.3">
      <c r="A501" s="409" t="s">
        <v>1116</v>
      </c>
      <c r="B501" s="120"/>
      <c r="C501" s="307"/>
      <c r="D501" s="85"/>
      <c r="E501" s="86" t="s">
        <v>40</v>
      </c>
      <c r="F501" s="86" t="s">
        <v>410</v>
      </c>
      <c r="G501" s="125" t="s">
        <v>179</v>
      </c>
      <c r="H501" s="125"/>
      <c r="I501" s="125"/>
      <c r="J501" s="41" t="s">
        <v>6</v>
      </c>
      <c r="K501" s="42">
        <f>K500+K499</f>
        <v>167101.25</v>
      </c>
      <c r="L501" s="43">
        <f>L500+L499</f>
        <v>13712.5</v>
      </c>
      <c r="M501" s="43">
        <f t="shared" ref="M501:V501" si="326">M500+M499</f>
        <v>13487.5</v>
      </c>
      <c r="N501" s="43">
        <f t="shared" si="326"/>
        <v>13237.5</v>
      </c>
      <c r="O501" s="43">
        <f t="shared" si="326"/>
        <v>12962.5</v>
      </c>
      <c r="P501" s="43">
        <f t="shared" si="326"/>
        <v>12662.5</v>
      </c>
      <c r="Q501" s="43">
        <f t="shared" si="326"/>
        <v>12337.5</v>
      </c>
      <c r="R501" s="43">
        <f t="shared" si="326"/>
        <v>12000</v>
      </c>
      <c r="S501" s="43">
        <f t="shared" si="326"/>
        <v>11600</v>
      </c>
      <c r="T501" s="43">
        <f t="shared" si="326"/>
        <v>11200</v>
      </c>
      <c r="U501" s="43">
        <f t="shared" si="326"/>
        <v>10800</v>
      </c>
      <c r="V501" s="43">
        <f t="shared" si="326"/>
        <v>10400</v>
      </c>
      <c r="W501" s="41" t="s">
        <v>11</v>
      </c>
      <c r="X501" s="41"/>
      <c r="Y501" s="41"/>
      <c r="Z501" s="492"/>
      <c r="AA501" s="533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</row>
    <row r="502" spans="1:46" s="2" customFormat="1" x14ac:dyDescent="0.25">
      <c r="A502" s="26" t="s">
        <v>102</v>
      </c>
      <c r="B502" s="26" t="s">
        <v>96</v>
      </c>
      <c r="C502" s="306"/>
      <c r="D502" s="33" t="s">
        <v>3</v>
      </c>
      <c r="E502" s="34">
        <v>39979</v>
      </c>
      <c r="F502" s="34" t="s">
        <v>269</v>
      </c>
      <c r="G502" s="314" t="s">
        <v>203</v>
      </c>
      <c r="H502" s="314">
        <v>31422158</v>
      </c>
      <c r="I502" s="314">
        <v>584013</v>
      </c>
      <c r="J502" s="2" t="s">
        <v>1</v>
      </c>
      <c r="K502" s="27">
        <v>160000</v>
      </c>
      <c r="L502" s="4">
        <v>10000</v>
      </c>
      <c r="M502" s="4">
        <v>10000</v>
      </c>
      <c r="N502" s="4">
        <v>10000</v>
      </c>
      <c r="O502" s="4">
        <v>10000</v>
      </c>
      <c r="P502" s="4">
        <v>10000</v>
      </c>
      <c r="Q502" s="4">
        <v>10000</v>
      </c>
      <c r="R502" s="4">
        <v>10000</v>
      </c>
      <c r="S502" s="4">
        <v>10000</v>
      </c>
      <c r="T502" s="4">
        <v>10000</v>
      </c>
      <c r="U502" s="4">
        <v>10000</v>
      </c>
      <c r="V502" s="4">
        <v>10000</v>
      </c>
      <c r="W502" s="4">
        <v>5000</v>
      </c>
      <c r="X502" s="4">
        <v>5000</v>
      </c>
      <c r="Y502" s="4">
        <v>5000</v>
      </c>
      <c r="Z502" s="504">
        <v>5000</v>
      </c>
      <c r="AA502" s="543">
        <v>5000</v>
      </c>
      <c r="AB502" s="4">
        <v>5000</v>
      </c>
      <c r="AC502" s="2" t="s">
        <v>11</v>
      </c>
    </row>
    <row r="503" spans="1:46" s="2" customFormat="1" x14ac:dyDescent="0.25">
      <c r="A503" s="400" t="s">
        <v>953</v>
      </c>
      <c r="B503" s="26"/>
      <c r="C503" s="306"/>
      <c r="D503" s="33"/>
      <c r="E503" s="34" t="s">
        <v>12</v>
      </c>
      <c r="F503" s="34"/>
      <c r="G503" s="35" t="s">
        <v>392</v>
      </c>
      <c r="H503" s="35"/>
      <c r="I503" s="35"/>
      <c r="J503" s="17" t="s">
        <v>2</v>
      </c>
      <c r="K503" s="28">
        <v>54425</v>
      </c>
      <c r="L503" s="11">
        <v>5037.5</v>
      </c>
      <c r="M503" s="11">
        <v>4812.5</v>
      </c>
      <c r="N503" s="11">
        <f>2281.25+2281.25</f>
        <v>4562.5</v>
      </c>
      <c r="O503" s="11">
        <f>2143.75+2143.75</f>
        <v>4287.5</v>
      </c>
      <c r="P503" s="11">
        <f>1993.75+1993.75</f>
        <v>3987.5</v>
      </c>
      <c r="Q503" s="11">
        <f>1831.25+1831.25</f>
        <v>3662.5</v>
      </c>
      <c r="R503" s="11">
        <f>1662.5+1662.5</f>
        <v>3325</v>
      </c>
      <c r="S503" s="11">
        <f>1462.5+1462.5</f>
        <v>2925</v>
      </c>
      <c r="T503" s="11">
        <f>1262.5+1262.5</f>
        <v>2525</v>
      </c>
      <c r="U503" s="11">
        <f>1062.5+1062.5</f>
        <v>2125</v>
      </c>
      <c r="V503" s="11">
        <f>862.5+862.5</f>
        <v>1725</v>
      </c>
      <c r="W503" s="11">
        <f>662.5+662.5</f>
        <v>1325</v>
      </c>
      <c r="X503" s="11">
        <f>562.5+562.5</f>
        <v>1125</v>
      </c>
      <c r="Y503" s="11">
        <f>450+450</f>
        <v>900</v>
      </c>
      <c r="Z503" s="505">
        <f>337.5+337.5</f>
        <v>675</v>
      </c>
      <c r="AA503" s="544">
        <f>225+225</f>
        <v>450</v>
      </c>
      <c r="AB503" s="11">
        <f>112.5+112.5</f>
        <v>225</v>
      </c>
      <c r="AC503" s="17" t="s">
        <v>11</v>
      </c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</row>
    <row r="504" spans="1:46" s="6" customFormat="1" ht="13.8" thickBot="1" x14ac:dyDescent="0.3">
      <c r="A504" s="409" t="s">
        <v>1114</v>
      </c>
      <c r="B504" s="120"/>
      <c r="C504" s="307"/>
      <c r="D504" s="85"/>
      <c r="E504" s="86" t="s">
        <v>160</v>
      </c>
      <c r="F504" s="86" t="s">
        <v>405</v>
      </c>
      <c r="G504" s="141"/>
      <c r="H504" s="141"/>
      <c r="I504" s="141"/>
      <c r="J504" s="41" t="s">
        <v>6</v>
      </c>
      <c r="K504" s="42">
        <f>K503+K502</f>
        <v>214425</v>
      </c>
      <c r="L504" s="43">
        <f>L503+L502</f>
        <v>15037.5</v>
      </c>
      <c r="M504" s="43">
        <f t="shared" ref="M504:W504" si="327">M503+M502</f>
        <v>14812.5</v>
      </c>
      <c r="N504" s="43">
        <f t="shared" si="327"/>
        <v>14562.5</v>
      </c>
      <c r="O504" s="43">
        <f t="shared" si="327"/>
        <v>14287.5</v>
      </c>
      <c r="P504" s="43">
        <f t="shared" si="327"/>
        <v>13987.5</v>
      </c>
      <c r="Q504" s="43">
        <f t="shared" si="327"/>
        <v>13662.5</v>
      </c>
      <c r="R504" s="43">
        <f t="shared" si="327"/>
        <v>13325</v>
      </c>
      <c r="S504" s="43">
        <f t="shared" si="327"/>
        <v>12925</v>
      </c>
      <c r="T504" s="43">
        <f t="shared" si="327"/>
        <v>12525</v>
      </c>
      <c r="U504" s="43">
        <f t="shared" si="327"/>
        <v>12125</v>
      </c>
      <c r="V504" s="43">
        <f t="shared" si="327"/>
        <v>11725</v>
      </c>
      <c r="W504" s="43">
        <f t="shared" si="327"/>
        <v>6325</v>
      </c>
      <c r="X504" s="43">
        <f t="shared" ref="X504" si="328">X503+X502</f>
        <v>6125</v>
      </c>
      <c r="Y504" s="43">
        <f t="shared" ref="Y504" si="329">Y503+Y502</f>
        <v>5900</v>
      </c>
      <c r="Z504" s="499">
        <f t="shared" ref="Z504" si="330">Z503+Z502</f>
        <v>5675</v>
      </c>
      <c r="AA504" s="538">
        <f t="shared" ref="AA504" si="331">AA503+AA502</f>
        <v>5450</v>
      </c>
      <c r="AB504" s="43">
        <f t="shared" ref="AB504" si="332">AB503+AB502</f>
        <v>5225</v>
      </c>
      <c r="AC504" s="41" t="s">
        <v>11</v>
      </c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</row>
    <row r="505" spans="1:46" s="2" customFormat="1" x14ac:dyDescent="0.25">
      <c r="A505" s="26" t="s">
        <v>99</v>
      </c>
      <c r="B505" s="26" t="s">
        <v>96</v>
      </c>
      <c r="C505" s="306"/>
      <c r="D505" s="33" t="s">
        <v>3</v>
      </c>
      <c r="E505" s="34">
        <v>39979</v>
      </c>
      <c r="F505" s="34" t="s">
        <v>281</v>
      </c>
      <c r="G505" s="35" t="s">
        <v>423</v>
      </c>
      <c r="H505" s="35">
        <v>31171158</v>
      </c>
      <c r="I505" s="35">
        <v>584003</v>
      </c>
      <c r="J505" s="2" t="s">
        <v>1</v>
      </c>
      <c r="K505" s="27">
        <v>50000</v>
      </c>
      <c r="L505" s="4">
        <v>5000</v>
      </c>
      <c r="M505" s="4">
        <v>5000</v>
      </c>
      <c r="N505" s="4">
        <v>5000</v>
      </c>
      <c r="O505" s="4">
        <v>5000</v>
      </c>
      <c r="P505" s="4">
        <v>5000</v>
      </c>
      <c r="Q505" s="4">
        <v>5000</v>
      </c>
      <c r="R505" s="4">
        <v>5000</v>
      </c>
      <c r="S505" s="4">
        <v>5000</v>
      </c>
      <c r="T505" s="367" t="s">
        <v>11</v>
      </c>
      <c r="U505" s="283"/>
      <c r="Z505" s="490"/>
      <c r="AA505" s="60"/>
    </row>
    <row r="506" spans="1:46" s="2" customFormat="1" x14ac:dyDescent="0.25">
      <c r="A506" s="26"/>
      <c r="B506" s="26"/>
      <c r="C506" s="306"/>
      <c r="D506" s="33"/>
      <c r="E506" s="34" t="s">
        <v>12</v>
      </c>
      <c r="F506" s="34"/>
      <c r="G506" s="35" t="s">
        <v>184</v>
      </c>
      <c r="H506" s="35"/>
      <c r="I506" s="35"/>
      <c r="J506" s="17" t="s">
        <v>2</v>
      </c>
      <c r="K506" s="28">
        <v>9050</v>
      </c>
      <c r="L506" s="11">
        <v>1256.25</v>
      </c>
      <c r="M506" s="11">
        <v>1143.75</v>
      </c>
      <c r="N506" s="11">
        <f>509.38+509.37</f>
        <v>1018.75</v>
      </c>
      <c r="O506" s="11">
        <f>440.63+440.62</f>
        <v>881.25</v>
      </c>
      <c r="P506" s="11">
        <f>365.63+365.62</f>
        <v>731.25</v>
      </c>
      <c r="Q506" s="11">
        <f>284.38+284.37</f>
        <v>568.75</v>
      </c>
      <c r="R506" s="11">
        <f>200+200</f>
        <v>400</v>
      </c>
      <c r="S506" s="11">
        <f>100+100</f>
        <v>200</v>
      </c>
      <c r="T506" s="368" t="s">
        <v>11</v>
      </c>
      <c r="U506" s="142"/>
      <c r="V506" s="17"/>
      <c r="W506" s="17"/>
      <c r="X506" s="17"/>
      <c r="Y506" s="17"/>
      <c r="Z506" s="491"/>
      <c r="AA506" s="532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</row>
    <row r="507" spans="1:46" s="6" customFormat="1" ht="13.8" thickBot="1" x14ac:dyDescent="0.3">
      <c r="A507" s="120"/>
      <c r="B507" s="120"/>
      <c r="C507" s="307"/>
      <c r="D507" s="85"/>
      <c r="E507" s="86" t="s">
        <v>15</v>
      </c>
      <c r="F507" s="86" t="s">
        <v>410</v>
      </c>
      <c r="G507" s="125"/>
      <c r="H507" s="125"/>
      <c r="I507" s="125"/>
      <c r="J507" s="41" t="s">
        <v>6</v>
      </c>
      <c r="K507" s="42">
        <f>K506+K505</f>
        <v>59050</v>
      </c>
      <c r="L507" s="43">
        <f>L506+L505</f>
        <v>6256.25</v>
      </c>
      <c r="M507" s="43">
        <f t="shared" ref="M507:S507" si="333">M506+M505</f>
        <v>6143.75</v>
      </c>
      <c r="N507" s="43">
        <f t="shared" si="333"/>
        <v>6018.75</v>
      </c>
      <c r="O507" s="43">
        <f t="shared" si="333"/>
        <v>5881.25</v>
      </c>
      <c r="P507" s="43">
        <f t="shared" si="333"/>
        <v>5731.25</v>
      </c>
      <c r="Q507" s="43">
        <f t="shared" si="333"/>
        <v>5568.75</v>
      </c>
      <c r="R507" s="43">
        <f t="shared" si="333"/>
        <v>5400</v>
      </c>
      <c r="S507" s="43">
        <f t="shared" si="333"/>
        <v>5200</v>
      </c>
      <c r="T507" s="41" t="s">
        <v>11</v>
      </c>
      <c r="U507" s="43"/>
      <c r="V507" s="41"/>
      <c r="W507" s="41"/>
      <c r="X507" s="41"/>
      <c r="Y507" s="41"/>
      <c r="Z507" s="492"/>
      <c r="AA507" s="533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</row>
    <row r="508" spans="1:46" s="2" customFormat="1" x14ac:dyDescent="0.25">
      <c r="A508" s="26"/>
      <c r="B508" s="26" t="s">
        <v>96</v>
      </c>
      <c r="C508" s="306"/>
      <c r="D508" s="33" t="s">
        <v>3</v>
      </c>
      <c r="E508" s="34">
        <v>39979</v>
      </c>
      <c r="F508" s="34" t="s">
        <v>345</v>
      </c>
      <c r="G508" s="35" t="s">
        <v>377</v>
      </c>
      <c r="H508" s="35">
        <v>31422193</v>
      </c>
      <c r="I508" s="35">
        <v>586208</v>
      </c>
      <c r="J508" s="2" t="s">
        <v>1</v>
      </c>
      <c r="K508" s="27">
        <v>32000</v>
      </c>
      <c r="L508" s="4">
        <v>5000</v>
      </c>
      <c r="M508" s="4">
        <v>5000</v>
      </c>
      <c r="N508" s="2" t="s">
        <v>11</v>
      </c>
      <c r="O508" s="4"/>
      <c r="P508" s="283"/>
      <c r="Q508" s="283"/>
      <c r="R508" s="283"/>
      <c r="S508" s="283"/>
      <c r="T508" s="283"/>
      <c r="U508" s="283"/>
      <c r="Z508" s="490"/>
      <c r="AA508" s="60"/>
    </row>
    <row r="509" spans="1:46" s="2" customFormat="1" x14ac:dyDescent="0.25">
      <c r="A509" s="26"/>
      <c r="B509" s="26"/>
      <c r="C509" s="306"/>
      <c r="D509" s="33"/>
      <c r="E509" s="34" t="s">
        <v>12</v>
      </c>
      <c r="F509" s="34"/>
      <c r="G509" s="35" t="s">
        <v>173</v>
      </c>
      <c r="H509" s="35"/>
      <c r="I509" s="35"/>
      <c r="J509" s="17" t="s">
        <v>2</v>
      </c>
      <c r="K509" s="28">
        <v>1557.5</v>
      </c>
      <c r="L509" s="11">
        <v>237.5</v>
      </c>
      <c r="M509" s="11">
        <v>125</v>
      </c>
      <c r="N509" s="17" t="s">
        <v>11</v>
      </c>
      <c r="O509" s="11"/>
      <c r="P509" s="142"/>
      <c r="Q509" s="142"/>
      <c r="R509" s="142"/>
      <c r="S509" s="142"/>
      <c r="T509" s="142"/>
      <c r="U509" s="142"/>
      <c r="V509" s="17"/>
      <c r="W509" s="17"/>
      <c r="X509" s="17"/>
      <c r="Y509" s="17"/>
      <c r="Z509" s="491"/>
      <c r="AA509" s="532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</row>
    <row r="510" spans="1:46" s="6" customFormat="1" ht="13.8" thickBot="1" x14ac:dyDescent="0.3">
      <c r="A510" s="120"/>
      <c r="B510" s="120"/>
      <c r="C510" s="307"/>
      <c r="D510" s="85"/>
      <c r="E510" s="86" t="s">
        <v>15</v>
      </c>
      <c r="F510" s="86" t="s">
        <v>410</v>
      </c>
      <c r="G510" s="125"/>
      <c r="H510" s="125"/>
      <c r="I510" s="125"/>
      <c r="J510" s="41" t="s">
        <v>6</v>
      </c>
      <c r="K510" s="42">
        <f>K509+K508</f>
        <v>33557.5</v>
      </c>
      <c r="L510" s="43">
        <f>L509+L508</f>
        <v>5237.5</v>
      </c>
      <c r="M510" s="43">
        <f t="shared" ref="M510" si="334">M509+M508</f>
        <v>5125</v>
      </c>
      <c r="N510" s="41" t="s">
        <v>11</v>
      </c>
      <c r="O510" s="43"/>
      <c r="P510" s="43"/>
      <c r="Q510" s="43"/>
      <c r="R510" s="43"/>
      <c r="S510" s="43"/>
      <c r="T510" s="43"/>
      <c r="U510" s="43"/>
      <c r="V510" s="41"/>
      <c r="W510" s="41"/>
      <c r="X510" s="41"/>
      <c r="Y510" s="41"/>
      <c r="Z510" s="492"/>
      <c r="AA510" s="533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</row>
    <row r="511" spans="1:46" s="2" customFormat="1" x14ac:dyDescent="0.25">
      <c r="A511" s="26" t="s">
        <v>99</v>
      </c>
      <c r="B511" s="26" t="s">
        <v>96</v>
      </c>
      <c r="C511" s="306"/>
      <c r="D511" s="33" t="s">
        <v>3</v>
      </c>
      <c r="E511" s="34">
        <v>39979</v>
      </c>
      <c r="F511" s="34" t="s">
        <v>344</v>
      </c>
      <c r="G511" s="313" t="s">
        <v>207</v>
      </c>
      <c r="H511" s="313">
        <v>31422193</v>
      </c>
      <c r="I511" s="313">
        <v>586209</v>
      </c>
      <c r="J511" s="2" t="s">
        <v>1</v>
      </c>
      <c r="K511" s="27">
        <v>260000</v>
      </c>
      <c r="L511" s="4">
        <v>15000</v>
      </c>
      <c r="M511" s="4">
        <v>15000</v>
      </c>
      <c r="N511" s="4">
        <v>15000</v>
      </c>
      <c r="O511" s="4">
        <v>15000</v>
      </c>
      <c r="P511" s="4">
        <v>15000</v>
      </c>
      <c r="Q511" s="4">
        <v>15000</v>
      </c>
      <c r="R511" s="4">
        <v>15000</v>
      </c>
      <c r="S511" s="4">
        <v>15000</v>
      </c>
      <c r="T511" s="4">
        <v>15000</v>
      </c>
      <c r="U511" s="4">
        <v>15000</v>
      </c>
      <c r="V511" s="4">
        <v>15000</v>
      </c>
      <c r="W511" s="4">
        <v>15000</v>
      </c>
      <c r="X511" s="4">
        <v>10000</v>
      </c>
      <c r="Y511" s="4">
        <v>10000</v>
      </c>
      <c r="Z511" s="504">
        <v>10000</v>
      </c>
      <c r="AA511" s="543">
        <v>10000</v>
      </c>
      <c r="AB511" s="4">
        <v>10000</v>
      </c>
      <c r="AC511" s="2" t="s">
        <v>11</v>
      </c>
    </row>
    <row r="512" spans="1:46" s="2" customFormat="1" x14ac:dyDescent="0.25">
      <c r="A512" s="400" t="s">
        <v>954</v>
      </c>
      <c r="B512" s="26"/>
      <c r="C512" s="306"/>
      <c r="D512" s="33"/>
      <c r="E512" s="34" t="s">
        <v>12</v>
      </c>
      <c r="F512" s="34"/>
      <c r="G512" s="35" t="s">
        <v>172</v>
      </c>
      <c r="H512" s="35"/>
      <c r="I512" s="35"/>
      <c r="J512" s="17" t="s">
        <v>2</v>
      </c>
      <c r="K512" s="28">
        <v>95400</v>
      </c>
      <c r="L512" s="11">
        <v>8418.75</v>
      </c>
      <c r="M512" s="11">
        <v>8081.25</v>
      </c>
      <c r="N512" s="11">
        <f>3853.13+3853.12</f>
        <v>7706.25</v>
      </c>
      <c r="O512" s="11">
        <f>3646.88+3646.87</f>
        <v>7293.75</v>
      </c>
      <c r="P512" s="11">
        <f>3421.88+3421.87</f>
        <v>6843.75</v>
      </c>
      <c r="Q512" s="11">
        <f>3178.13+3178.12</f>
        <v>6356.25</v>
      </c>
      <c r="R512" s="11">
        <f>2925+2925</f>
        <v>5850</v>
      </c>
      <c r="S512" s="11">
        <f>2625+2625</f>
        <v>5250</v>
      </c>
      <c r="T512" s="11">
        <f>2325+2325</f>
        <v>4650</v>
      </c>
      <c r="U512" s="11">
        <f>2025+2025</f>
        <v>4050</v>
      </c>
      <c r="V512" s="11">
        <f>1725+1725</f>
        <v>3450</v>
      </c>
      <c r="W512" s="11">
        <f>1425+1425</f>
        <v>2850</v>
      </c>
      <c r="X512" s="11">
        <f>1125+1125</f>
        <v>2250</v>
      </c>
      <c r="Y512" s="11">
        <f>900+900</f>
        <v>1800</v>
      </c>
      <c r="Z512" s="505">
        <f>675+675</f>
        <v>1350</v>
      </c>
      <c r="AA512" s="544">
        <f>450+450</f>
        <v>900</v>
      </c>
      <c r="AB512" s="11">
        <f>225+225</f>
        <v>450</v>
      </c>
      <c r="AC512" s="17" t="s">
        <v>11</v>
      </c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</row>
    <row r="513" spans="1:46" s="6" customFormat="1" ht="13.8" thickBot="1" x14ac:dyDescent="0.3">
      <c r="A513" s="409" t="s">
        <v>1114</v>
      </c>
      <c r="B513" s="120"/>
      <c r="C513" s="307"/>
      <c r="D513" s="85"/>
      <c r="E513" s="86" t="s">
        <v>15</v>
      </c>
      <c r="F513" s="86" t="s">
        <v>405</v>
      </c>
      <c r="G513" s="125"/>
      <c r="H513" s="125"/>
      <c r="I513" s="125"/>
      <c r="J513" s="41" t="s">
        <v>6</v>
      </c>
      <c r="K513" s="42">
        <f>K512+K511</f>
        <v>355400</v>
      </c>
      <c r="L513" s="43">
        <f>L512+L511</f>
        <v>23418.75</v>
      </c>
      <c r="M513" s="43">
        <f t="shared" ref="M513:X513" si="335">M512+M511</f>
        <v>23081.25</v>
      </c>
      <c r="N513" s="43">
        <f t="shared" si="335"/>
        <v>22706.25</v>
      </c>
      <c r="O513" s="43">
        <f t="shared" si="335"/>
        <v>22293.75</v>
      </c>
      <c r="P513" s="43">
        <f t="shared" si="335"/>
        <v>21843.75</v>
      </c>
      <c r="Q513" s="43">
        <f t="shared" si="335"/>
        <v>21356.25</v>
      </c>
      <c r="R513" s="43">
        <f t="shared" si="335"/>
        <v>20850</v>
      </c>
      <c r="S513" s="43">
        <f t="shared" si="335"/>
        <v>20250</v>
      </c>
      <c r="T513" s="43">
        <f t="shared" si="335"/>
        <v>19650</v>
      </c>
      <c r="U513" s="43">
        <f t="shared" si="335"/>
        <v>19050</v>
      </c>
      <c r="V513" s="43">
        <f t="shared" si="335"/>
        <v>18450</v>
      </c>
      <c r="W513" s="43">
        <f t="shared" si="335"/>
        <v>17850</v>
      </c>
      <c r="X513" s="43">
        <f t="shared" si="335"/>
        <v>12250</v>
      </c>
      <c r="Y513" s="43">
        <f t="shared" ref="Y513" si="336">Y512+Y511</f>
        <v>11800</v>
      </c>
      <c r="Z513" s="499">
        <f t="shared" ref="Z513" si="337">Z512+Z511</f>
        <v>11350</v>
      </c>
      <c r="AA513" s="538">
        <f t="shared" ref="AA513" si="338">AA512+AA511</f>
        <v>10900</v>
      </c>
      <c r="AB513" s="43">
        <f t="shared" ref="AB513" si="339">AB512+AB511</f>
        <v>10450</v>
      </c>
      <c r="AC513" s="41" t="s">
        <v>11</v>
      </c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</row>
    <row r="514" spans="1:46" s="2" customFormat="1" x14ac:dyDescent="0.25">
      <c r="A514" s="26"/>
      <c r="B514" s="26" t="s">
        <v>96</v>
      </c>
      <c r="C514" s="306"/>
      <c r="D514" s="33" t="s">
        <v>3</v>
      </c>
      <c r="E514" s="34">
        <v>39979</v>
      </c>
      <c r="F514" s="34" t="s">
        <v>258</v>
      </c>
      <c r="G514" s="35" t="s">
        <v>183</v>
      </c>
      <c r="H514" s="35"/>
      <c r="I514" s="35"/>
      <c r="J514" s="2" t="s">
        <v>1</v>
      </c>
      <c r="K514" s="27">
        <v>55500</v>
      </c>
      <c r="L514" s="4">
        <v>10000</v>
      </c>
      <c r="M514" s="4">
        <v>10000</v>
      </c>
      <c r="N514" s="2" t="s">
        <v>11</v>
      </c>
      <c r="O514" s="4"/>
      <c r="P514" s="283"/>
      <c r="Q514" s="283"/>
      <c r="R514" s="283"/>
      <c r="S514" s="283"/>
      <c r="T514" s="283"/>
      <c r="U514" s="283"/>
      <c r="Z514" s="490"/>
      <c r="AA514" s="60"/>
    </row>
    <row r="515" spans="1:46" s="2" customFormat="1" x14ac:dyDescent="0.25">
      <c r="A515" s="26"/>
      <c r="B515" s="26"/>
      <c r="C515" s="306"/>
      <c r="D515" s="33"/>
      <c r="E515" s="34" t="s">
        <v>12</v>
      </c>
      <c r="F515" s="34"/>
      <c r="G515" s="35" t="s">
        <v>445</v>
      </c>
      <c r="H515" s="35"/>
      <c r="I515" s="35"/>
      <c r="J515" s="17" t="s">
        <v>2</v>
      </c>
      <c r="K515" s="28">
        <v>2811.25</v>
      </c>
      <c r="L515" s="11">
        <v>475</v>
      </c>
      <c r="M515" s="11">
        <v>250</v>
      </c>
      <c r="N515" s="17" t="s">
        <v>11</v>
      </c>
      <c r="O515" s="11"/>
      <c r="P515" s="142"/>
      <c r="Q515" s="142"/>
      <c r="R515" s="142"/>
      <c r="S515" s="142"/>
      <c r="T515" s="142"/>
      <c r="U515" s="142"/>
      <c r="V515" s="17"/>
      <c r="W515" s="17"/>
      <c r="X515" s="17"/>
      <c r="Y515" s="17"/>
      <c r="Z515" s="491"/>
      <c r="AA515" s="532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</row>
    <row r="516" spans="1:46" s="6" customFormat="1" ht="13.8" thickBot="1" x14ac:dyDescent="0.3">
      <c r="A516" s="120"/>
      <c r="B516" s="120"/>
      <c r="C516" s="307"/>
      <c r="D516" s="85"/>
      <c r="E516" s="86" t="s">
        <v>40</v>
      </c>
      <c r="F516" s="86" t="s">
        <v>410</v>
      </c>
      <c r="G516" s="145" t="s">
        <v>446</v>
      </c>
      <c r="H516" s="141"/>
      <c r="I516" s="141"/>
      <c r="J516" s="41" t="s">
        <v>6</v>
      </c>
      <c r="K516" s="42">
        <f>K515+K514</f>
        <v>58311.25</v>
      </c>
      <c r="L516" s="43">
        <f>L515+L514</f>
        <v>10475</v>
      </c>
      <c r="M516" s="43">
        <f>M515+M514</f>
        <v>10250</v>
      </c>
      <c r="N516" s="41" t="s">
        <v>11</v>
      </c>
      <c r="O516" s="43"/>
      <c r="P516" s="43"/>
      <c r="Q516" s="43"/>
      <c r="R516" s="43"/>
      <c r="S516" s="43"/>
      <c r="T516" s="43"/>
      <c r="U516" s="43"/>
      <c r="V516" s="41"/>
      <c r="W516" s="41"/>
      <c r="X516" s="41"/>
      <c r="Y516" s="41"/>
      <c r="Z516" s="492"/>
      <c r="AA516" s="533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</row>
    <row r="517" spans="1:46" s="2" customFormat="1" x14ac:dyDescent="0.25">
      <c r="A517" s="26"/>
      <c r="B517" s="26" t="s">
        <v>96</v>
      </c>
      <c r="C517" s="306"/>
      <c r="D517" s="33" t="s">
        <v>3</v>
      </c>
      <c r="E517" s="34">
        <v>39979</v>
      </c>
      <c r="F517" s="34" t="s">
        <v>260</v>
      </c>
      <c r="G517" s="35" t="s">
        <v>121</v>
      </c>
      <c r="H517" s="35"/>
      <c r="I517" s="35"/>
      <c r="J517" s="2" t="s">
        <v>1</v>
      </c>
      <c r="K517" s="27">
        <v>41000</v>
      </c>
      <c r="L517" s="4">
        <v>10000</v>
      </c>
      <c r="M517" s="4">
        <v>10000</v>
      </c>
      <c r="N517" s="2" t="s">
        <v>11</v>
      </c>
      <c r="O517" s="4"/>
      <c r="P517" s="283"/>
      <c r="Q517" s="283"/>
      <c r="R517" s="283"/>
      <c r="S517" s="283"/>
      <c r="T517" s="283"/>
      <c r="U517" s="283"/>
      <c r="Z517" s="490"/>
      <c r="AA517" s="60"/>
    </row>
    <row r="518" spans="1:46" s="2" customFormat="1" x14ac:dyDescent="0.25">
      <c r="A518" s="26"/>
      <c r="B518" s="26"/>
      <c r="C518" s="306"/>
      <c r="D518" s="33"/>
      <c r="E518" s="34" t="s">
        <v>12</v>
      </c>
      <c r="F518" s="34"/>
      <c r="G518" s="35" t="s">
        <v>135</v>
      </c>
      <c r="H518" s="35"/>
      <c r="I518" s="35"/>
      <c r="J518" s="17" t="s">
        <v>2</v>
      </c>
      <c r="K518" s="28">
        <v>2372.5</v>
      </c>
      <c r="L518" s="11">
        <v>475</v>
      </c>
      <c r="M518" s="11">
        <v>250</v>
      </c>
      <c r="N518" s="17" t="s">
        <v>11</v>
      </c>
      <c r="O518" s="11"/>
      <c r="P518" s="142"/>
      <c r="Q518" s="142"/>
      <c r="R518" s="142"/>
      <c r="S518" s="142"/>
      <c r="T518" s="142"/>
      <c r="U518" s="142"/>
      <c r="V518" s="17"/>
      <c r="W518" s="17"/>
      <c r="X518" s="17"/>
      <c r="Y518" s="17"/>
      <c r="Z518" s="491"/>
      <c r="AA518" s="532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</row>
    <row r="519" spans="1:46" s="6" customFormat="1" ht="13.8" thickBot="1" x14ac:dyDescent="0.3">
      <c r="A519" s="120"/>
      <c r="B519" s="120"/>
      <c r="C519" s="307"/>
      <c r="D519" s="85"/>
      <c r="E519" s="86" t="s">
        <v>160</v>
      </c>
      <c r="F519" s="86" t="s">
        <v>410</v>
      </c>
      <c r="G519" s="125"/>
      <c r="H519" s="125"/>
      <c r="I519" s="125"/>
      <c r="J519" s="41" t="s">
        <v>6</v>
      </c>
      <c r="K519" s="42">
        <f>K518+K517</f>
        <v>43372.5</v>
      </c>
      <c r="L519" s="43">
        <f>L518+L517</f>
        <v>10475</v>
      </c>
      <c r="M519" s="43">
        <f t="shared" ref="M519" si="340">M518+M517</f>
        <v>10250</v>
      </c>
      <c r="N519" s="41" t="s">
        <v>11</v>
      </c>
      <c r="O519" s="43"/>
      <c r="P519" s="43"/>
      <c r="Q519" s="43"/>
      <c r="R519" s="43"/>
      <c r="S519" s="43"/>
      <c r="T519" s="43"/>
      <c r="U519" s="43"/>
      <c r="V519" s="41"/>
      <c r="W519" s="41"/>
      <c r="X519" s="41"/>
      <c r="Y519" s="41"/>
      <c r="Z519" s="492"/>
      <c r="AA519" s="533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</row>
    <row r="520" spans="1:46" s="2" customFormat="1" x14ac:dyDescent="0.25">
      <c r="A520" s="26"/>
      <c r="B520" s="26" t="s">
        <v>96</v>
      </c>
      <c r="C520" s="306"/>
      <c r="D520" s="33" t="s">
        <v>3</v>
      </c>
      <c r="E520" s="34">
        <v>39979</v>
      </c>
      <c r="F520" s="34" t="s">
        <v>259</v>
      </c>
      <c r="G520" s="35" t="s">
        <v>138</v>
      </c>
      <c r="H520" s="35"/>
      <c r="I520" s="35"/>
      <c r="J520" s="2" t="s">
        <v>1</v>
      </c>
      <c r="K520" s="27">
        <v>26000</v>
      </c>
      <c r="L520" s="4">
        <v>5000</v>
      </c>
      <c r="M520" s="4">
        <v>5000</v>
      </c>
      <c r="N520" s="2" t="s">
        <v>11</v>
      </c>
      <c r="O520" s="4"/>
      <c r="P520" s="283"/>
      <c r="Q520" s="283"/>
      <c r="R520" s="283"/>
      <c r="S520" s="283"/>
      <c r="T520" s="283"/>
      <c r="U520" s="283"/>
      <c r="Z520" s="490"/>
      <c r="AA520" s="60"/>
    </row>
    <row r="521" spans="1:46" s="2" customFormat="1" x14ac:dyDescent="0.25">
      <c r="A521" s="26"/>
      <c r="B521" s="26"/>
      <c r="C521" s="306"/>
      <c r="D521" s="33"/>
      <c r="E521" s="34" t="s">
        <v>12</v>
      </c>
      <c r="F521" s="34"/>
      <c r="G521" s="35" t="s">
        <v>548</v>
      </c>
      <c r="H521" s="35"/>
      <c r="I521" s="35"/>
      <c r="J521" s="17" t="s">
        <v>2</v>
      </c>
      <c r="K521" s="28">
        <v>1310</v>
      </c>
      <c r="L521" s="11">
        <v>237.5</v>
      </c>
      <c r="M521" s="11">
        <v>125</v>
      </c>
      <c r="N521" s="17" t="s">
        <v>11</v>
      </c>
      <c r="O521" s="11"/>
      <c r="P521" s="142"/>
      <c r="Q521" s="142"/>
      <c r="R521" s="142"/>
      <c r="S521" s="142"/>
      <c r="T521" s="142"/>
      <c r="U521" s="142"/>
      <c r="V521" s="17"/>
      <c r="W521" s="17"/>
      <c r="X521" s="17"/>
      <c r="Y521" s="17"/>
      <c r="Z521" s="491"/>
      <c r="AA521" s="532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</row>
    <row r="522" spans="1:46" s="6" customFormat="1" ht="13.8" thickBot="1" x14ac:dyDescent="0.3">
      <c r="A522" s="120"/>
      <c r="B522" s="120"/>
      <c r="C522" s="307"/>
      <c r="D522" s="85"/>
      <c r="E522" s="86" t="s">
        <v>160</v>
      </c>
      <c r="F522" s="86" t="s">
        <v>410</v>
      </c>
      <c r="G522" s="125" t="s">
        <v>547</v>
      </c>
      <c r="H522" s="141"/>
      <c r="I522" s="141"/>
      <c r="J522" s="41" t="s">
        <v>6</v>
      </c>
      <c r="K522" s="42">
        <f>K521+K520</f>
        <v>27310</v>
      </c>
      <c r="L522" s="43">
        <f>L521+L520</f>
        <v>5237.5</v>
      </c>
      <c r="M522" s="43">
        <f>M521+M520</f>
        <v>5125</v>
      </c>
      <c r="N522" s="41" t="s">
        <v>11</v>
      </c>
      <c r="O522" s="43"/>
      <c r="P522" s="43"/>
      <c r="Q522" s="43"/>
      <c r="R522" s="43"/>
      <c r="S522" s="43"/>
      <c r="T522" s="43"/>
      <c r="U522" s="43"/>
      <c r="V522" s="41"/>
      <c r="W522" s="41"/>
      <c r="X522" s="41"/>
      <c r="Y522" s="41"/>
      <c r="Z522" s="492"/>
      <c r="AA522" s="533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</row>
    <row r="523" spans="1:46" s="3" customFormat="1" x14ac:dyDescent="0.25">
      <c r="A523" s="121"/>
      <c r="B523" s="121"/>
      <c r="C523" s="306"/>
      <c r="D523" s="54"/>
      <c r="E523" s="54"/>
      <c r="F523" s="54"/>
      <c r="G523" s="36" t="s">
        <v>32</v>
      </c>
      <c r="H523" s="152">
        <v>1772919</v>
      </c>
      <c r="I523" s="36">
        <v>591100</v>
      </c>
      <c r="J523" s="33" t="s">
        <v>1</v>
      </c>
      <c r="K523" s="37">
        <f>K520+K517+K514+K511+K508+K505+K502+K499+K496+K493+K490+K487+K484+K481+K478+K475+K472+K469+K466</f>
        <v>2128500</v>
      </c>
      <c r="L523" s="67">
        <f>L520+L517+L514+L511+L508+L505+L502+L499+L496+L493+L490+L487+L484+L481+L478+L475+L472+L469+L466</f>
        <v>235000</v>
      </c>
      <c r="M523" s="67">
        <f>M520+M517+M514+M511+M508+M505+M502+M499+M496+M493+M490+M487+M484+M481+M478+M475+M472+M469+M466</f>
        <v>230000</v>
      </c>
      <c r="N523" s="67">
        <f>N511+N505+N502+N499+N493+N490+N484+N478+N475+N472</f>
        <v>140000</v>
      </c>
      <c r="O523" s="67">
        <f>O511+O505+O502+O499+O493+O490+O484+O478+O475</f>
        <v>130000</v>
      </c>
      <c r="P523" s="67">
        <f t="shared" ref="P523:Q523" si="341">P511+P505+P502+P499+P493+P490+P484+P478+P475</f>
        <v>130000</v>
      </c>
      <c r="Q523" s="67">
        <f t="shared" si="341"/>
        <v>130000</v>
      </c>
      <c r="R523" s="67">
        <f>R511+R505+R502+R499+R493+R490+R484+R478+R475</f>
        <v>130000</v>
      </c>
      <c r="S523" s="67">
        <f>S511+S505+S502+S499+S493+S478+S475</f>
        <v>90000</v>
      </c>
      <c r="T523" s="67">
        <f>T511+T502+T499+T475</f>
        <v>55000</v>
      </c>
      <c r="U523" s="67">
        <f t="shared" ref="U523:V523" si="342">U511+U502+U499+U475</f>
        <v>55000</v>
      </c>
      <c r="V523" s="67">
        <f t="shared" si="342"/>
        <v>55000</v>
      </c>
      <c r="W523" s="67">
        <f>W511+W502+W475</f>
        <v>40000</v>
      </c>
      <c r="X523" s="67">
        <f t="shared" ref="X523:AB523" si="343">X511+X502+X475</f>
        <v>35000</v>
      </c>
      <c r="Y523" s="67">
        <f t="shared" si="343"/>
        <v>35000</v>
      </c>
      <c r="Z523" s="507">
        <f t="shared" si="343"/>
        <v>35000</v>
      </c>
      <c r="AA523" s="546">
        <f t="shared" si="343"/>
        <v>35000</v>
      </c>
      <c r="AB523" s="67">
        <f t="shared" si="343"/>
        <v>35000</v>
      </c>
      <c r="AC523" s="134" t="s">
        <v>11</v>
      </c>
    </row>
    <row r="524" spans="1:46" s="3" customFormat="1" x14ac:dyDescent="0.25">
      <c r="A524" s="121"/>
      <c r="B524" s="121"/>
      <c r="C524" s="306"/>
      <c r="D524" s="54"/>
      <c r="E524" s="54"/>
      <c r="F524" s="54"/>
      <c r="G524" s="33"/>
      <c r="H524" s="152">
        <v>1772919</v>
      </c>
      <c r="I524" s="33">
        <v>595100</v>
      </c>
      <c r="J524" s="38" t="s">
        <v>2</v>
      </c>
      <c r="K524" s="39">
        <f>K521+K518+K515+K512+K509+K506+K503+K500+K497+K494+K491+K488+K485+K482+K479+K476+K473+K470+K467</f>
        <v>481978.75</v>
      </c>
      <c r="L524" s="16">
        <f t="shared" ref="L524:M524" si="344">L521+L518+L515+L512+L509+L506+L503+L500+L497+L494+L491+L488+L485+L482+L479+L476+L473+L470+L467</f>
        <v>52275</v>
      </c>
      <c r="M524" s="16">
        <f t="shared" si="344"/>
        <v>46987.5</v>
      </c>
      <c r="N524" s="16">
        <f>N512+N506+N503+N500+N494+N491+N485+N479+N476+N473</f>
        <v>41237.5</v>
      </c>
      <c r="O524" s="16">
        <f>O512+O506+O503+O500+O494+O491+O485+O479+O476</f>
        <v>37387.5</v>
      </c>
      <c r="P524" s="16">
        <f t="shared" ref="P524:R524" si="345">P512+P506+P503+P500+P494+P491+P485+P479+P476</f>
        <v>33487.5</v>
      </c>
      <c r="Q524" s="16">
        <f t="shared" si="345"/>
        <v>29262.5</v>
      </c>
      <c r="R524" s="16">
        <f t="shared" si="345"/>
        <v>24875</v>
      </c>
      <c r="S524" s="16">
        <f>S512+S506+S503+S500+S494+S479+S476</f>
        <v>19675</v>
      </c>
      <c r="T524" s="16">
        <f>T512+T503+T500+T476</f>
        <v>16075</v>
      </c>
      <c r="U524" s="16">
        <f t="shared" ref="U524:V524" si="346">U512+U503+U500+U476</f>
        <v>13875</v>
      </c>
      <c r="V524" s="16">
        <f t="shared" si="346"/>
        <v>11675</v>
      </c>
      <c r="W524" s="16">
        <f>W512+W503+W476</f>
        <v>9475</v>
      </c>
      <c r="X524" s="16">
        <f t="shared" ref="X524:AB524" si="347">X512+X503+X476</f>
        <v>7875</v>
      </c>
      <c r="Y524" s="16">
        <f t="shared" si="347"/>
        <v>6300</v>
      </c>
      <c r="Z524" s="502">
        <f t="shared" si="347"/>
        <v>4725</v>
      </c>
      <c r="AA524" s="541">
        <f t="shared" si="347"/>
        <v>3150</v>
      </c>
      <c r="AB524" s="16">
        <f t="shared" si="347"/>
        <v>1575</v>
      </c>
      <c r="AC524" s="20" t="s">
        <v>11</v>
      </c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</row>
    <row r="525" spans="1:46" s="8" customFormat="1" ht="13.8" thickBot="1" x14ac:dyDescent="0.3">
      <c r="A525" s="122"/>
      <c r="B525" s="122"/>
      <c r="C525" s="307"/>
      <c r="D525" s="85"/>
      <c r="E525" s="85"/>
      <c r="F525" s="85"/>
      <c r="G525" s="85"/>
      <c r="H525" s="85"/>
      <c r="I525" s="85"/>
      <c r="J525" s="44" t="s">
        <v>5</v>
      </c>
      <c r="K525" s="45">
        <f>K524+K523</f>
        <v>2610478.75</v>
      </c>
      <c r="L525" s="46">
        <f>L524+L523</f>
        <v>287275</v>
      </c>
      <c r="M525" s="46">
        <f t="shared" ref="M525:S525" si="348">M524+M523</f>
        <v>276987.5</v>
      </c>
      <c r="N525" s="46">
        <f t="shared" si="348"/>
        <v>181237.5</v>
      </c>
      <c r="O525" s="46">
        <f t="shared" si="348"/>
        <v>167387.5</v>
      </c>
      <c r="P525" s="46">
        <f t="shared" si="348"/>
        <v>163487.5</v>
      </c>
      <c r="Q525" s="46">
        <f t="shared" si="348"/>
        <v>159262.5</v>
      </c>
      <c r="R525" s="46">
        <f t="shared" si="348"/>
        <v>154875</v>
      </c>
      <c r="S525" s="46">
        <f t="shared" si="348"/>
        <v>109675</v>
      </c>
      <c r="T525" s="46">
        <f t="shared" ref="T525:W525" si="349">T524+T523</f>
        <v>71075</v>
      </c>
      <c r="U525" s="46">
        <f t="shared" si="349"/>
        <v>68875</v>
      </c>
      <c r="V525" s="46">
        <f t="shared" si="349"/>
        <v>66675</v>
      </c>
      <c r="W525" s="46">
        <f t="shared" si="349"/>
        <v>49475</v>
      </c>
      <c r="X525" s="46">
        <f t="shared" ref="X525:AB525" si="350">X524+X523</f>
        <v>42875</v>
      </c>
      <c r="Y525" s="46">
        <f t="shared" si="350"/>
        <v>41300</v>
      </c>
      <c r="Z525" s="503">
        <f t="shared" si="350"/>
        <v>39725</v>
      </c>
      <c r="AA525" s="542">
        <f t="shared" si="350"/>
        <v>38150</v>
      </c>
      <c r="AB525" s="46">
        <f t="shared" si="350"/>
        <v>36575</v>
      </c>
      <c r="AC525" s="47" t="s">
        <v>11</v>
      </c>
      <c r="AD525" s="47"/>
      <c r="AE525" s="47"/>
      <c r="AF525" s="47"/>
      <c r="AG525" s="47"/>
      <c r="AH525" s="47"/>
      <c r="AI525" s="47"/>
      <c r="AJ525" s="47"/>
      <c r="AK525" s="47"/>
      <c r="AL525" s="47"/>
      <c r="AM525" s="47"/>
      <c r="AN525" s="47"/>
      <c r="AO525" s="47"/>
      <c r="AP525" s="47"/>
      <c r="AQ525" s="47"/>
      <c r="AR525" s="47"/>
      <c r="AS525" s="47"/>
      <c r="AT525" s="47"/>
    </row>
    <row r="526" spans="1:46" s="2" customFormat="1" x14ac:dyDescent="0.25">
      <c r="A526" s="26"/>
      <c r="B526" s="26" t="s">
        <v>96</v>
      </c>
      <c r="C526" s="306"/>
      <c r="D526" s="14" t="s">
        <v>0</v>
      </c>
      <c r="E526" s="24">
        <v>39979</v>
      </c>
      <c r="F526" s="24" t="s">
        <v>266</v>
      </c>
      <c r="G526" s="15" t="s">
        <v>433</v>
      </c>
      <c r="H526" s="15">
        <v>60318158</v>
      </c>
      <c r="I526" s="15">
        <v>584014</v>
      </c>
      <c r="J526" s="2" t="s">
        <v>1</v>
      </c>
      <c r="K526" s="27">
        <v>95000</v>
      </c>
      <c r="L526" s="4">
        <v>25000</v>
      </c>
      <c r="M526" s="4">
        <v>20000</v>
      </c>
      <c r="N526" s="2" t="s">
        <v>11</v>
      </c>
      <c r="O526" s="4"/>
      <c r="P526" s="283"/>
      <c r="Q526" s="283"/>
      <c r="R526" s="283"/>
      <c r="S526" s="283"/>
      <c r="T526" s="283"/>
      <c r="U526" s="283"/>
      <c r="V526" s="283"/>
      <c r="W526" s="283"/>
      <c r="X526" s="283"/>
      <c r="Y526" s="283"/>
      <c r="Z526" s="497"/>
      <c r="AA526" s="536"/>
    </row>
    <row r="527" spans="1:46" s="2" customFormat="1" x14ac:dyDescent="0.25">
      <c r="A527" s="26"/>
      <c r="B527" s="26"/>
      <c r="C527" s="306"/>
      <c r="D527" s="14"/>
      <c r="E527" s="24" t="s">
        <v>12</v>
      </c>
      <c r="F527" s="24"/>
      <c r="G527" s="15" t="s">
        <v>192</v>
      </c>
      <c r="H527" s="15"/>
      <c r="I527" s="15"/>
      <c r="J527" s="17" t="s">
        <v>2</v>
      </c>
      <c r="K527" s="28">
        <v>5375</v>
      </c>
      <c r="L527" s="11">
        <v>1062.5</v>
      </c>
      <c r="M527" s="11">
        <v>500</v>
      </c>
      <c r="N527" s="17" t="s">
        <v>11</v>
      </c>
      <c r="O527" s="11"/>
      <c r="P527" s="142"/>
      <c r="Q527" s="142"/>
      <c r="R527" s="142"/>
      <c r="S527" s="142"/>
      <c r="T527" s="142"/>
      <c r="U527" s="142"/>
      <c r="V527" s="142"/>
      <c r="W527" s="142"/>
      <c r="X527" s="487"/>
      <c r="Y527" s="487"/>
      <c r="Z527" s="498"/>
      <c r="AA527" s="53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</row>
    <row r="528" spans="1:46" s="6" customFormat="1" ht="13.8" thickBot="1" x14ac:dyDescent="0.3">
      <c r="A528" s="120"/>
      <c r="B528" s="120"/>
      <c r="C528" s="307"/>
      <c r="D528" s="87"/>
      <c r="E528" s="88" t="s">
        <v>14</v>
      </c>
      <c r="F528" s="88" t="s">
        <v>410</v>
      </c>
      <c r="G528" s="126"/>
      <c r="H528" s="126"/>
      <c r="I528" s="126"/>
      <c r="J528" s="41" t="s">
        <v>6</v>
      </c>
      <c r="K528" s="42">
        <f>K527+K526</f>
        <v>100375</v>
      </c>
      <c r="L528" s="43">
        <f>L527+L526</f>
        <v>26062.5</v>
      </c>
      <c r="M528" s="43">
        <f t="shared" ref="M528" si="351">M527+M526</f>
        <v>20500</v>
      </c>
      <c r="N528" s="41" t="s">
        <v>11</v>
      </c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99"/>
      <c r="AA528" s="538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</row>
    <row r="529" spans="1:46" s="2" customFormat="1" x14ac:dyDescent="0.25">
      <c r="A529" s="26" t="s">
        <v>0</v>
      </c>
      <c r="B529" s="26" t="s">
        <v>96</v>
      </c>
      <c r="C529" s="306"/>
      <c r="D529" s="14" t="s">
        <v>0</v>
      </c>
      <c r="E529" s="24">
        <v>39979</v>
      </c>
      <c r="F529" s="24" t="s">
        <v>266</v>
      </c>
      <c r="G529" s="315" t="s">
        <v>122</v>
      </c>
      <c r="H529" s="315">
        <v>60318179</v>
      </c>
      <c r="I529" s="315">
        <v>586000</v>
      </c>
      <c r="J529" s="2" t="s">
        <v>1</v>
      </c>
      <c r="K529" s="27">
        <v>157000</v>
      </c>
      <c r="L529" s="4">
        <v>10000</v>
      </c>
      <c r="M529" s="4">
        <v>10000</v>
      </c>
      <c r="N529" s="4">
        <v>10000</v>
      </c>
      <c r="O529" s="4">
        <v>10000</v>
      </c>
      <c r="P529" s="4">
        <v>10000</v>
      </c>
      <c r="Q529" s="4">
        <v>10000</v>
      </c>
      <c r="R529" s="4">
        <v>10000</v>
      </c>
      <c r="S529" s="4">
        <v>10000</v>
      </c>
      <c r="T529" s="4">
        <v>10000</v>
      </c>
      <c r="U529" s="283">
        <v>5000</v>
      </c>
      <c r="V529" s="283">
        <v>5000</v>
      </c>
      <c r="W529" s="283">
        <v>5000</v>
      </c>
      <c r="X529" s="283">
        <v>5000</v>
      </c>
      <c r="Y529" s="283">
        <v>5000</v>
      </c>
      <c r="Z529" s="497">
        <v>5000</v>
      </c>
      <c r="AA529" s="536">
        <v>5000</v>
      </c>
      <c r="AB529" s="5">
        <v>5000</v>
      </c>
      <c r="AC529" s="5">
        <v>5000</v>
      </c>
      <c r="AD529" s="2" t="s">
        <v>11</v>
      </c>
    </row>
    <row r="530" spans="1:46" s="2" customFormat="1" x14ac:dyDescent="0.25">
      <c r="A530" s="400" t="s">
        <v>955</v>
      </c>
      <c r="B530" s="26"/>
      <c r="C530" s="306"/>
      <c r="D530" s="14"/>
      <c r="E530" s="24" t="s">
        <v>12</v>
      </c>
      <c r="F530" s="24"/>
      <c r="G530" s="15" t="s">
        <v>447</v>
      </c>
      <c r="H530" s="15"/>
      <c r="I530" s="15"/>
      <c r="J530" s="17" t="s">
        <v>2</v>
      </c>
      <c r="K530" s="28">
        <v>53970</v>
      </c>
      <c r="L530" s="11">
        <v>4862.5</v>
      </c>
      <c r="M530" s="11">
        <v>4637.5</v>
      </c>
      <c r="N530" s="11">
        <f>2193.75+2193.75</f>
        <v>4387.5</v>
      </c>
      <c r="O530" s="11">
        <f>2056.25+2056.25</f>
        <v>4112.5</v>
      </c>
      <c r="P530" s="142">
        <f>1906.25+1906.25</f>
        <v>3812.5</v>
      </c>
      <c r="Q530" s="142">
        <f>1743.75+1743.75</f>
        <v>3487.5</v>
      </c>
      <c r="R530" s="142">
        <f>1575+1575</f>
        <v>3150</v>
      </c>
      <c r="S530" s="142">
        <f>1375+1375</f>
        <v>2750</v>
      </c>
      <c r="T530" s="142">
        <f>1175+1175</f>
        <v>2350</v>
      </c>
      <c r="U530" s="142">
        <f>975+975</f>
        <v>1950</v>
      </c>
      <c r="V530" s="142">
        <f>875+875</f>
        <v>1750</v>
      </c>
      <c r="W530" s="142">
        <f>775+775</f>
        <v>1550</v>
      </c>
      <c r="X530" s="142">
        <f>675+675</f>
        <v>1350</v>
      </c>
      <c r="Y530" s="142">
        <f>562.5+562.5</f>
        <v>1125</v>
      </c>
      <c r="Z530" s="500">
        <f>450+450</f>
        <v>900</v>
      </c>
      <c r="AA530" s="539">
        <f>337.5+337.5</f>
        <v>675</v>
      </c>
      <c r="AB530" s="21">
        <f>225+225</f>
        <v>450</v>
      </c>
      <c r="AC530" s="21">
        <f>112.5+112.5</f>
        <v>225</v>
      </c>
      <c r="AD530" s="17" t="s">
        <v>11</v>
      </c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</row>
    <row r="531" spans="1:46" s="6" customFormat="1" ht="13.8" thickBot="1" x14ac:dyDescent="0.3">
      <c r="A531" s="409" t="s">
        <v>1114</v>
      </c>
      <c r="B531" s="120"/>
      <c r="C531" s="307"/>
      <c r="D531" s="87"/>
      <c r="E531" s="88" t="s">
        <v>14</v>
      </c>
      <c r="F531" s="88" t="s">
        <v>406</v>
      </c>
      <c r="G531" s="126" t="s">
        <v>607</v>
      </c>
      <c r="H531" s="126"/>
      <c r="I531" s="126"/>
      <c r="J531" s="41" t="s">
        <v>6</v>
      </c>
      <c r="K531" s="42">
        <f>K530+K529</f>
        <v>210970</v>
      </c>
      <c r="L531" s="43">
        <f>L530+L529</f>
        <v>14862.5</v>
      </c>
      <c r="M531" s="43">
        <f t="shared" ref="M531:AA531" si="352">M530+M529</f>
        <v>14637.5</v>
      </c>
      <c r="N531" s="43">
        <f t="shared" si="352"/>
        <v>14387.5</v>
      </c>
      <c r="O531" s="43">
        <f t="shared" si="352"/>
        <v>14112.5</v>
      </c>
      <c r="P531" s="43">
        <f t="shared" si="352"/>
        <v>13812.5</v>
      </c>
      <c r="Q531" s="43">
        <f t="shared" si="352"/>
        <v>13487.5</v>
      </c>
      <c r="R531" s="43">
        <f t="shared" si="352"/>
        <v>13150</v>
      </c>
      <c r="S531" s="43">
        <f t="shared" si="352"/>
        <v>12750</v>
      </c>
      <c r="T531" s="43">
        <f t="shared" si="352"/>
        <v>12350</v>
      </c>
      <c r="U531" s="43">
        <f t="shared" si="352"/>
        <v>6950</v>
      </c>
      <c r="V531" s="43">
        <f t="shared" si="352"/>
        <v>6750</v>
      </c>
      <c r="W531" s="43">
        <f t="shared" si="352"/>
        <v>6550</v>
      </c>
      <c r="X531" s="43">
        <f t="shared" si="352"/>
        <v>6350</v>
      </c>
      <c r="Y531" s="43">
        <f t="shared" si="352"/>
        <v>6125</v>
      </c>
      <c r="Z531" s="499">
        <f t="shared" si="352"/>
        <v>5900</v>
      </c>
      <c r="AA531" s="538">
        <f t="shared" si="352"/>
        <v>5675</v>
      </c>
      <c r="AB531" s="43">
        <f t="shared" ref="AB531:AC531" si="353">AB530+AB529</f>
        <v>5450</v>
      </c>
      <c r="AC531" s="43">
        <f t="shared" si="353"/>
        <v>5225</v>
      </c>
      <c r="AD531" s="41" t="s">
        <v>11</v>
      </c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</row>
    <row r="532" spans="1:46" s="2" customFormat="1" x14ac:dyDescent="0.25">
      <c r="A532" s="26" t="s">
        <v>0</v>
      </c>
      <c r="B532" s="26" t="s">
        <v>96</v>
      </c>
      <c r="C532" s="306"/>
      <c r="D532" s="14" t="s">
        <v>0</v>
      </c>
      <c r="E532" s="24">
        <v>39979</v>
      </c>
      <c r="F532" s="24" t="s">
        <v>266</v>
      </c>
      <c r="G532" s="15" t="s">
        <v>113</v>
      </c>
      <c r="H532" s="15">
        <v>60314065</v>
      </c>
      <c r="I532" s="15">
        <v>530000</v>
      </c>
      <c r="J532" s="2" t="s">
        <v>1</v>
      </c>
      <c r="K532" s="27">
        <v>130000</v>
      </c>
      <c r="L532" s="4">
        <v>10000</v>
      </c>
      <c r="M532" s="4">
        <v>10000</v>
      </c>
      <c r="N532" s="4">
        <v>10000</v>
      </c>
      <c r="O532" s="4">
        <v>10000</v>
      </c>
      <c r="P532" s="4">
        <v>10000</v>
      </c>
      <c r="Q532" s="4">
        <v>10000</v>
      </c>
      <c r="R532" s="4">
        <v>10000</v>
      </c>
      <c r="S532" s="4">
        <v>10000</v>
      </c>
      <c r="T532" s="4">
        <v>10000</v>
      </c>
      <c r="U532" s="4">
        <v>10000</v>
      </c>
      <c r="V532" s="4">
        <v>10000</v>
      </c>
      <c r="W532" s="367" t="s">
        <v>11</v>
      </c>
      <c r="X532" s="283"/>
      <c r="Y532" s="283"/>
      <c r="Z532" s="497"/>
      <c r="AA532" s="536"/>
    </row>
    <row r="533" spans="1:46" s="2" customFormat="1" x14ac:dyDescent="0.25">
      <c r="A533" s="400" t="s">
        <v>956</v>
      </c>
      <c r="B533" s="26"/>
      <c r="C533" s="306"/>
      <c r="D533" s="14"/>
      <c r="E533" s="24" t="s">
        <v>12</v>
      </c>
      <c r="F533" s="24"/>
      <c r="G533" s="15" t="s">
        <v>608</v>
      </c>
      <c r="H533" s="15"/>
      <c r="I533" s="15"/>
      <c r="J533" s="17" t="s">
        <v>2</v>
      </c>
      <c r="K533" s="28">
        <v>32500</v>
      </c>
      <c r="L533" s="11">
        <v>3712.5</v>
      </c>
      <c r="M533" s="11">
        <v>3487.5</v>
      </c>
      <c r="N533" s="11">
        <f>1618.75+1618.75</f>
        <v>3237.5</v>
      </c>
      <c r="O533" s="11">
        <f>1481.25+1481.25</f>
        <v>2962.5</v>
      </c>
      <c r="P533" s="11">
        <f>1331.25+1331.25</f>
        <v>2662.5</v>
      </c>
      <c r="Q533" s="11">
        <f>1168.75+1168.75</f>
        <v>2337.5</v>
      </c>
      <c r="R533" s="11">
        <f>1000+1000</f>
        <v>2000</v>
      </c>
      <c r="S533" s="11">
        <f>800+800</f>
        <v>1600</v>
      </c>
      <c r="T533" s="11">
        <f>600+600</f>
        <v>1200</v>
      </c>
      <c r="U533" s="11">
        <f>400+400</f>
        <v>800</v>
      </c>
      <c r="V533" s="11">
        <f>200+200</f>
        <v>400</v>
      </c>
      <c r="W533" s="368" t="s">
        <v>11</v>
      </c>
      <c r="X533" s="142"/>
      <c r="Y533" s="142"/>
      <c r="Z533" s="500"/>
      <c r="AA533" s="539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</row>
    <row r="534" spans="1:46" s="6" customFormat="1" ht="13.8" thickBot="1" x14ac:dyDescent="0.3">
      <c r="A534" s="409" t="s">
        <v>1116</v>
      </c>
      <c r="B534" s="120"/>
      <c r="C534" s="307"/>
      <c r="D534" s="87"/>
      <c r="E534" s="88" t="s">
        <v>14</v>
      </c>
      <c r="F534" s="88" t="s">
        <v>410</v>
      </c>
      <c r="G534" s="126" t="s">
        <v>709</v>
      </c>
      <c r="H534" s="126"/>
      <c r="I534" s="126"/>
      <c r="J534" s="41" t="s">
        <v>6</v>
      </c>
      <c r="K534" s="42">
        <f>K533+K532</f>
        <v>162500</v>
      </c>
      <c r="L534" s="43">
        <f>L533+L532</f>
        <v>13712.5</v>
      </c>
      <c r="M534" s="43">
        <f t="shared" ref="M534:N534" si="354">M533+M532</f>
        <v>13487.5</v>
      </c>
      <c r="N534" s="43">
        <f t="shared" si="354"/>
        <v>13237.5</v>
      </c>
      <c r="O534" s="43">
        <f t="shared" ref="O534:V534" si="355">O533+O532</f>
        <v>12962.5</v>
      </c>
      <c r="P534" s="43">
        <f t="shared" si="355"/>
        <v>12662.5</v>
      </c>
      <c r="Q534" s="43">
        <f t="shared" si="355"/>
        <v>12337.5</v>
      </c>
      <c r="R534" s="43">
        <f t="shared" si="355"/>
        <v>12000</v>
      </c>
      <c r="S534" s="43">
        <f t="shared" si="355"/>
        <v>11600</v>
      </c>
      <c r="T534" s="43">
        <f t="shared" si="355"/>
        <v>11200</v>
      </c>
      <c r="U534" s="43">
        <f t="shared" si="355"/>
        <v>10800</v>
      </c>
      <c r="V534" s="43">
        <f t="shared" si="355"/>
        <v>10400</v>
      </c>
      <c r="W534" s="41" t="s">
        <v>11</v>
      </c>
      <c r="X534" s="43"/>
      <c r="Y534" s="43"/>
      <c r="Z534" s="499"/>
      <c r="AA534" s="538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</row>
    <row r="535" spans="1:46" s="2" customFormat="1" x14ac:dyDescent="0.25">
      <c r="A535" s="26" t="s">
        <v>0</v>
      </c>
      <c r="B535" s="26" t="s">
        <v>96</v>
      </c>
      <c r="C535" s="306"/>
      <c r="D535" s="14" t="s">
        <v>0</v>
      </c>
      <c r="E535" s="24">
        <v>39979</v>
      </c>
      <c r="F535" s="24" t="s">
        <v>266</v>
      </c>
      <c r="G535" s="315" t="s">
        <v>293</v>
      </c>
      <c r="H535" s="315">
        <v>60316110</v>
      </c>
      <c r="I535" s="315">
        <v>583000</v>
      </c>
      <c r="J535" s="2" t="s">
        <v>1</v>
      </c>
      <c r="K535" s="27">
        <v>602000</v>
      </c>
      <c r="L535" s="4">
        <v>30000</v>
      </c>
      <c r="M535" s="4">
        <v>30000</v>
      </c>
      <c r="N535" s="4">
        <v>30000</v>
      </c>
      <c r="O535" s="4">
        <v>30000</v>
      </c>
      <c r="P535" s="4">
        <v>30000</v>
      </c>
      <c r="Q535" s="4">
        <v>30000</v>
      </c>
      <c r="R535" s="4">
        <v>30000</v>
      </c>
      <c r="S535" s="4">
        <v>30000</v>
      </c>
      <c r="T535" s="4">
        <v>30000</v>
      </c>
      <c r="U535" s="4">
        <v>30000</v>
      </c>
      <c r="V535" s="4">
        <v>30000</v>
      </c>
      <c r="W535" s="4">
        <v>30000</v>
      </c>
      <c r="X535" s="4">
        <v>30000</v>
      </c>
      <c r="Y535" s="4">
        <v>30000</v>
      </c>
      <c r="Z535" s="504">
        <v>30000</v>
      </c>
      <c r="AA535" s="543">
        <v>30000</v>
      </c>
      <c r="AB535" s="4">
        <v>30000</v>
      </c>
      <c r="AC535" s="4">
        <v>30000</v>
      </c>
      <c r="AD535" s="2" t="s">
        <v>11</v>
      </c>
    </row>
    <row r="536" spans="1:46" s="2" customFormat="1" x14ac:dyDescent="0.25">
      <c r="A536" s="400" t="s">
        <v>957</v>
      </c>
      <c r="B536" s="26"/>
      <c r="C536" s="400" t="s">
        <v>1114</v>
      </c>
      <c r="D536" s="14"/>
      <c r="E536" s="24" t="s">
        <v>12</v>
      </c>
      <c r="F536" s="24"/>
      <c r="G536" s="15" t="s">
        <v>349</v>
      </c>
      <c r="H536" s="15"/>
      <c r="I536" s="15"/>
      <c r="J536" s="17" t="s">
        <v>2</v>
      </c>
      <c r="K536" s="28">
        <v>256095</v>
      </c>
      <c r="L536" s="11">
        <v>20437.5</v>
      </c>
      <c r="M536" s="11">
        <v>19762.5</v>
      </c>
      <c r="N536" s="11">
        <f>9506.25+9506.25</f>
        <v>19012.5</v>
      </c>
      <c r="O536" s="11">
        <f>9093.75+9093.75</f>
        <v>18187.5</v>
      </c>
      <c r="P536" s="11">
        <f>8643.75+8643.75</f>
        <v>17287.5</v>
      </c>
      <c r="Q536" s="11">
        <f>8156.25+8156.25</f>
        <v>16312.5</v>
      </c>
      <c r="R536" s="11">
        <f>7650+7650</f>
        <v>15300</v>
      </c>
      <c r="S536" s="11">
        <f>7050+7050</f>
        <v>14100</v>
      </c>
      <c r="T536" s="11">
        <f>6450+6450</f>
        <v>12900</v>
      </c>
      <c r="U536" s="11">
        <f>5850+5850</f>
        <v>11700</v>
      </c>
      <c r="V536" s="11">
        <f>5250+5250</f>
        <v>10500</v>
      </c>
      <c r="W536" s="11">
        <f>4650+4650</f>
        <v>9300</v>
      </c>
      <c r="X536" s="11">
        <f>4050+4050</f>
        <v>8100</v>
      </c>
      <c r="Y536" s="11">
        <f>3375+3375</f>
        <v>6750</v>
      </c>
      <c r="Z536" s="505">
        <f>2700+2700</f>
        <v>5400</v>
      </c>
      <c r="AA536" s="544">
        <f>2025+2025</f>
        <v>4050</v>
      </c>
      <c r="AB536" s="11">
        <f>1350+1350</f>
        <v>2700</v>
      </c>
      <c r="AC536" s="11">
        <f>675+675</f>
        <v>1350</v>
      </c>
      <c r="AD536" s="17" t="s">
        <v>11</v>
      </c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</row>
    <row r="537" spans="1:46" s="6" customFormat="1" ht="13.8" thickBot="1" x14ac:dyDescent="0.3">
      <c r="A537" s="327" t="s">
        <v>621</v>
      </c>
      <c r="B537" s="328"/>
      <c r="C537" s="329"/>
      <c r="D537" s="87"/>
      <c r="E537" s="88" t="s">
        <v>14</v>
      </c>
      <c r="F537" s="88" t="s">
        <v>406</v>
      </c>
      <c r="G537" s="143" t="s">
        <v>708</v>
      </c>
      <c r="H537" s="143"/>
      <c r="I537" s="143"/>
      <c r="J537" s="41" t="s">
        <v>6</v>
      </c>
      <c r="K537" s="42">
        <f>K536+K535</f>
        <v>858095</v>
      </c>
      <c r="L537" s="43">
        <f>L536+L535</f>
        <v>50437.5</v>
      </c>
      <c r="M537" s="43">
        <f t="shared" ref="M537:AC537" si="356">M536+M535</f>
        <v>49762.5</v>
      </c>
      <c r="N537" s="43">
        <f t="shared" si="356"/>
        <v>49012.5</v>
      </c>
      <c r="O537" s="43">
        <f t="shared" si="356"/>
        <v>48187.5</v>
      </c>
      <c r="P537" s="43">
        <f t="shared" si="356"/>
        <v>47287.5</v>
      </c>
      <c r="Q537" s="43">
        <f t="shared" si="356"/>
        <v>46312.5</v>
      </c>
      <c r="R537" s="43">
        <f t="shared" si="356"/>
        <v>45300</v>
      </c>
      <c r="S537" s="43">
        <f t="shared" si="356"/>
        <v>44100</v>
      </c>
      <c r="T537" s="43">
        <f t="shared" si="356"/>
        <v>42900</v>
      </c>
      <c r="U537" s="43">
        <f t="shared" si="356"/>
        <v>41700</v>
      </c>
      <c r="V537" s="43">
        <f t="shared" si="356"/>
        <v>40500</v>
      </c>
      <c r="W537" s="43">
        <f t="shared" si="356"/>
        <v>39300</v>
      </c>
      <c r="X537" s="43">
        <f t="shared" si="356"/>
        <v>38100</v>
      </c>
      <c r="Y537" s="43">
        <f t="shared" si="356"/>
        <v>36750</v>
      </c>
      <c r="Z537" s="499">
        <f t="shared" si="356"/>
        <v>35400</v>
      </c>
      <c r="AA537" s="538">
        <f t="shared" si="356"/>
        <v>34050</v>
      </c>
      <c r="AB537" s="43">
        <f t="shared" si="356"/>
        <v>32700</v>
      </c>
      <c r="AC537" s="43">
        <f t="shared" si="356"/>
        <v>31350</v>
      </c>
      <c r="AD537" s="41" t="s">
        <v>11</v>
      </c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</row>
    <row r="538" spans="1:46" s="2" customFormat="1" x14ac:dyDescent="0.25">
      <c r="A538" s="26" t="s">
        <v>0</v>
      </c>
      <c r="B538" s="26" t="s">
        <v>96</v>
      </c>
      <c r="C538" s="306"/>
      <c r="D538" s="14" t="s">
        <v>0</v>
      </c>
      <c r="E538" s="24">
        <v>39979</v>
      </c>
      <c r="F538" s="24" t="s">
        <v>266</v>
      </c>
      <c r="G538" s="15" t="s">
        <v>315</v>
      </c>
      <c r="H538" s="15">
        <v>60318158</v>
      </c>
      <c r="I538" s="15">
        <v>583002</v>
      </c>
      <c r="J538" s="2" t="s">
        <v>1</v>
      </c>
      <c r="K538" s="27">
        <v>70000</v>
      </c>
      <c r="L538" s="4">
        <v>5000</v>
      </c>
      <c r="M538" s="4">
        <v>5000</v>
      </c>
      <c r="N538" s="4">
        <v>5000</v>
      </c>
      <c r="O538" s="4">
        <v>5000</v>
      </c>
      <c r="P538" s="283">
        <v>5000</v>
      </c>
      <c r="Q538" s="283">
        <v>5000</v>
      </c>
      <c r="R538" s="283">
        <v>5000</v>
      </c>
      <c r="S538" s="283">
        <v>5000</v>
      </c>
      <c r="T538" s="283">
        <v>5000</v>
      </c>
      <c r="U538" s="283">
        <v>5000</v>
      </c>
      <c r="V538" s="283">
        <v>5000</v>
      </c>
      <c r="W538" s="283">
        <v>5000</v>
      </c>
      <c r="X538" s="2" t="s">
        <v>11</v>
      </c>
      <c r="Z538" s="490"/>
      <c r="AA538" s="60"/>
    </row>
    <row r="539" spans="1:46" s="2" customFormat="1" x14ac:dyDescent="0.25">
      <c r="A539" s="400" t="s">
        <v>958</v>
      </c>
      <c r="B539" s="26"/>
      <c r="C539" s="400" t="s">
        <v>1116</v>
      </c>
      <c r="D539" s="14"/>
      <c r="E539" s="24" t="s">
        <v>12</v>
      </c>
      <c r="F539" s="24"/>
      <c r="G539" s="15" t="s">
        <v>397</v>
      </c>
      <c r="H539" s="15"/>
      <c r="I539" s="15"/>
      <c r="J539" s="17" t="s">
        <v>2</v>
      </c>
      <c r="K539" s="28">
        <v>19050</v>
      </c>
      <c r="L539" s="11">
        <v>2056.25</v>
      </c>
      <c r="M539" s="11">
        <v>1943.75</v>
      </c>
      <c r="N539" s="11">
        <f>909.38+909.37</f>
        <v>1818.75</v>
      </c>
      <c r="O539" s="11">
        <f>840.63+840.62</f>
        <v>1681.25</v>
      </c>
      <c r="P539" s="142">
        <f>765.63+765.62</f>
        <v>1531.25</v>
      </c>
      <c r="Q539" s="142">
        <f>684.38+684.37</f>
        <v>1368.75</v>
      </c>
      <c r="R539" s="142">
        <f>600+600</f>
        <v>1200</v>
      </c>
      <c r="S539" s="142">
        <f>500+500</f>
        <v>1000</v>
      </c>
      <c r="T539" s="142">
        <f>400+400</f>
        <v>800</v>
      </c>
      <c r="U539" s="142">
        <f>300+300</f>
        <v>600</v>
      </c>
      <c r="V539" s="142">
        <f>200+200</f>
        <v>400</v>
      </c>
      <c r="W539" s="142">
        <f>100+100</f>
        <v>200</v>
      </c>
      <c r="X539" s="17" t="s">
        <v>11</v>
      </c>
      <c r="Y539" s="17"/>
      <c r="Z539" s="491"/>
      <c r="AA539" s="532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</row>
    <row r="540" spans="1:46" s="6" customFormat="1" ht="13.8" thickBot="1" x14ac:dyDescent="0.3">
      <c r="A540" s="327" t="s">
        <v>621</v>
      </c>
      <c r="B540" s="328"/>
      <c r="C540" s="329"/>
      <c r="D540" s="87"/>
      <c r="E540" s="88" t="s">
        <v>14</v>
      </c>
      <c r="F540" s="88" t="s">
        <v>406</v>
      </c>
      <c r="G540" s="143" t="s">
        <v>711</v>
      </c>
      <c r="H540" s="143"/>
      <c r="I540" s="143"/>
      <c r="J540" s="41" t="s">
        <v>6</v>
      </c>
      <c r="K540" s="42">
        <f>K539+K538</f>
        <v>89050</v>
      </c>
      <c r="L540" s="43">
        <f>L539+L538</f>
        <v>7056.25</v>
      </c>
      <c r="M540" s="43">
        <f t="shared" ref="M540:P540" si="357">M539+M538</f>
        <v>6943.75</v>
      </c>
      <c r="N540" s="43">
        <f t="shared" si="357"/>
        <v>6818.75</v>
      </c>
      <c r="O540" s="43">
        <f t="shared" si="357"/>
        <v>6681.25</v>
      </c>
      <c r="P540" s="43">
        <f t="shared" si="357"/>
        <v>6531.25</v>
      </c>
      <c r="Q540" s="43">
        <f>Q539+Q538</f>
        <v>6368.75</v>
      </c>
      <c r="R540" s="43">
        <f t="shared" ref="R540:W540" si="358">R539+R538</f>
        <v>6200</v>
      </c>
      <c r="S540" s="43">
        <f t="shared" si="358"/>
        <v>6000</v>
      </c>
      <c r="T540" s="43">
        <f t="shared" si="358"/>
        <v>5800</v>
      </c>
      <c r="U540" s="43">
        <f t="shared" si="358"/>
        <v>5600</v>
      </c>
      <c r="V540" s="43">
        <f t="shared" si="358"/>
        <v>5400</v>
      </c>
      <c r="W540" s="43">
        <f t="shared" si="358"/>
        <v>5200</v>
      </c>
      <c r="X540" s="41" t="s">
        <v>11</v>
      </c>
      <c r="Y540" s="41"/>
      <c r="Z540" s="492"/>
      <c r="AA540" s="533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</row>
    <row r="541" spans="1:46" s="2" customFormat="1" x14ac:dyDescent="0.25">
      <c r="A541" s="26" t="s">
        <v>0</v>
      </c>
      <c r="B541" s="26" t="s">
        <v>96</v>
      </c>
      <c r="C541" s="306"/>
      <c r="D541" s="14" t="s">
        <v>0</v>
      </c>
      <c r="E541" s="24">
        <v>39979</v>
      </c>
      <c r="F541" s="24" t="s">
        <v>266</v>
      </c>
      <c r="G541" s="315" t="s">
        <v>112</v>
      </c>
      <c r="H541" s="315">
        <v>60317141</v>
      </c>
      <c r="I541" s="315">
        <v>584012</v>
      </c>
      <c r="J541" s="2" t="s">
        <v>1</v>
      </c>
      <c r="K541" s="27">
        <v>185000</v>
      </c>
      <c r="L541" s="4">
        <v>10000</v>
      </c>
      <c r="M541" s="4">
        <v>10000</v>
      </c>
      <c r="N541" s="4">
        <v>10000</v>
      </c>
      <c r="O541" s="4">
        <v>10000</v>
      </c>
      <c r="P541" s="4">
        <v>10000</v>
      </c>
      <c r="Q541" s="4">
        <v>10000</v>
      </c>
      <c r="R541" s="4">
        <v>10000</v>
      </c>
      <c r="S541" s="4">
        <v>10000</v>
      </c>
      <c r="T541" s="4">
        <v>10000</v>
      </c>
      <c r="U541" s="4">
        <v>10000</v>
      </c>
      <c r="V541" s="4">
        <v>10000</v>
      </c>
      <c r="W541" s="4">
        <v>10000</v>
      </c>
      <c r="X541" s="4">
        <v>10000</v>
      </c>
      <c r="Y541" s="4">
        <v>10000</v>
      </c>
      <c r="Z541" s="504">
        <v>10000</v>
      </c>
      <c r="AA541" s="543">
        <v>10000</v>
      </c>
      <c r="AB541" s="4">
        <v>5000</v>
      </c>
      <c r="AC541" s="2" t="s">
        <v>11</v>
      </c>
    </row>
    <row r="542" spans="1:46" s="2" customFormat="1" x14ac:dyDescent="0.25">
      <c r="A542" s="400" t="s">
        <v>959</v>
      </c>
      <c r="B542" s="26"/>
      <c r="C542" s="306"/>
      <c r="D542" s="14"/>
      <c r="E542" s="24" t="s">
        <v>12</v>
      </c>
      <c r="F542" s="24"/>
      <c r="G542" s="15" t="s">
        <v>313</v>
      </c>
      <c r="H542" s="15"/>
      <c r="I542" s="15"/>
      <c r="J542" s="17" t="s">
        <v>2</v>
      </c>
      <c r="K542" s="28">
        <v>72525</v>
      </c>
      <c r="L542" s="11">
        <v>6137.5</v>
      </c>
      <c r="M542" s="11">
        <v>5912.5</v>
      </c>
      <c r="N542" s="11">
        <f>2831.25+2831.25</f>
        <v>5662.5</v>
      </c>
      <c r="O542" s="11">
        <f>2693.75+2693.75</f>
        <v>5387.5</v>
      </c>
      <c r="P542" s="11">
        <f>2543.75+2543.75</f>
        <v>5087.5</v>
      </c>
      <c r="Q542" s="11">
        <f>2381.25+2381.25</f>
        <v>4762.5</v>
      </c>
      <c r="R542" s="11">
        <f>2212.5+2212.5</f>
        <v>4425</v>
      </c>
      <c r="S542" s="11">
        <f>2012.5+2012.5</f>
        <v>4025</v>
      </c>
      <c r="T542" s="11">
        <f>1812.5+1812.5</f>
        <v>3625</v>
      </c>
      <c r="U542" s="11">
        <f>1612.5+1612.5</f>
        <v>3225</v>
      </c>
      <c r="V542" s="11">
        <f>1412.5+1412.5</f>
        <v>2825</v>
      </c>
      <c r="W542" s="11">
        <f>1212.5+1212.5</f>
        <v>2425</v>
      </c>
      <c r="X542" s="11">
        <f>1012.5+1012.5</f>
        <v>2025</v>
      </c>
      <c r="Y542" s="11">
        <f>787.5+787.5</f>
        <v>1575</v>
      </c>
      <c r="Z542" s="505">
        <f>562.5+562.5</f>
        <v>1125</v>
      </c>
      <c r="AA542" s="544">
        <f>337.5+337.5</f>
        <v>675</v>
      </c>
      <c r="AB542" s="11">
        <f>112.5+112.5</f>
        <v>225</v>
      </c>
      <c r="AC542" s="17" t="s">
        <v>11</v>
      </c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</row>
    <row r="543" spans="1:46" s="6" customFormat="1" ht="13.8" thickBot="1" x14ac:dyDescent="0.3">
      <c r="A543" s="409" t="s">
        <v>1114</v>
      </c>
      <c r="B543" s="120"/>
      <c r="C543" s="307"/>
      <c r="D543" s="87"/>
      <c r="E543" s="88" t="s">
        <v>14</v>
      </c>
      <c r="F543" s="88" t="s">
        <v>406</v>
      </c>
      <c r="G543" s="126"/>
      <c r="H543" s="126"/>
      <c r="I543" s="126"/>
      <c r="J543" s="41" t="s">
        <v>6</v>
      </c>
      <c r="K543" s="42">
        <f>K542+K541</f>
        <v>257525</v>
      </c>
      <c r="L543" s="43">
        <f>L542+L541</f>
        <v>16137.5</v>
      </c>
      <c r="M543" s="43">
        <f t="shared" ref="M543" si="359">M542+M541</f>
        <v>15912.5</v>
      </c>
      <c r="N543" s="43">
        <f t="shared" ref="N543" si="360">N542+N541</f>
        <v>15662.5</v>
      </c>
      <c r="O543" s="43">
        <f t="shared" ref="O543" si="361">O542+O541</f>
        <v>15387.5</v>
      </c>
      <c r="P543" s="43">
        <f t="shared" ref="P543" si="362">P542+P541</f>
        <v>15087.5</v>
      </c>
      <c r="Q543" s="43">
        <f t="shared" ref="Q543" si="363">Q542+Q541</f>
        <v>14762.5</v>
      </c>
      <c r="R543" s="43">
        <f t="shared" ref="R543" si="364">R542+R541</f>
        <v>14425</v>
      </c>
      <c r="S543" s="43">
        <f t="shared" ref="S543" si="365">S542+S541</f>
        <v>14025</v>
      </c>
      <c r="T543" s="43">
        <f t="shared" ref="T543" si="366">T542+T541</f>
        <v>13625</v>
      </c>
      <c r="U543" s="43">
        <f t="shared" ref="U543" si="367">U542+U541</f>
        <v>13225</v>
      </c>
      <c r="V543" s="43">
        <f t="shared" ref="V543" si="368">V542+V541</f>
        <v>12825</v>
      </c>
      <c r="W543" s="43">
        <f t="shared" ref="W543" si="369">W542+W541</f>
        <v>12425</v>
      </c>
      <c r="X543" s="43">
        <f t="shared" ref="X543" si="370">X542+X541</f>
        <v>12025</v>
      </c>
      <c r="Y543" s="43">
        <f t="shared" ref="Y543" si="371">Y542+Y541</f>
        <v>11575</v>
      </c>
      <c r="Z543" s="499">
        <f t="shared" ref="Z543" si="372">Z542+Z541</f>
        <v>11125</v>
      </c>
      <c r="AA543" s="538">
        <f t="shared" ref="AA543" si="373">AA542+AA541</f>
        <v>10675</v>
      </c>
      <c r="AB543" s="43">
        <f t="shared" ref="AB543" si="374">AB542+AB541</f>
        <v>5225</v>
      </c>
      <c r="AC543" s="41" t="s">
        <v>11</v>
      </c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</row>
    <row r="544" spans="1:46" s="2" customFormat="1" x14ac:dyDescent="0.25">
      <c r="A544" s="26" t="s">
        <v>0</v>
      </c>
      <c r="B544" s="26" t="s">
        <v>96</v>
      </c>
      <c r="C544" s="306"/>
      <c r="D544" s="14" t="s">
        <v>0</v>
      </c>
      <c r="E544" s="24">
        <v>39979</v>
      </c>
      <c r="F544" s="24" t="s">
        <v>269</v>
      </c>
      <c r="G544" s="315" t="s">
        <v>123</v>
      </c>
      <c r="H544" s="315"/>
      <c r="I544" s="315"/>
      <c r="J544" s="2" t="s">
        <v>1</v>
      </c>
      <c r="K544" s="27">
        <v>185000</v>
      </c>
      <c r="L544" s="4">
        <v>10000</v>
      </c>
      <c r="M544" s="4">
        <v>10000</v>
      </c>
      <c r="N544" s="4">
        <v>10000</v>
      </c>
      <c r="O544" s="4">
        <v>10000</v>
      </c>
      <c r="P544" s="4">
        <v>10000</v>
      </c>
      <c r="Q544" s="4">
        <v>10000</v>
      </c>
      <c r="R544" s="4">
        <v>10000</v>
      </c>
      <c r="S544" s="4">
        <v>10000</v>
      </c>
      <c r="T544" s="4">
        <v>10000</v>
      </c>
      <c r="U544" s="4">
        <v>10000</v>
      </c>
      <c r="V544" s="4">
        <v>10000</v>
      </c>
      <c r="W544" s="4">
        <v>10000</v>
      </c>
      <c r="X544" s="4">
        <v>10000</v>
      </c>
      <c r="Y544" s="4">
        <v>10000</v>
      </c>
      <c r="Z544" s="504">
        <v>10000</v>
      </c>
      <c r="AA544" s="543">
        <v>10000</v>
      </c>
      <c r="AB544" s="4">
        <v>5000</v>
      </c>
      <c r="AC544" s="2" t="s">
        <v>11</v>
      </c>
    </row>
    <row r="545" spans="1:46" s="2" customFormat="1" x14ac:dyDescent="0.25">
      <c r="A545" s="400" t="s">
        <v>960</v>
      </c>
      <c r="B545" s="26"/>
      <c r="C545" s="400" t="s">
        <v>1114</v>
      </c>
      <c r="D545" s="14"/>
      <c r="E545" s="24" t="s">
        <v>12</v>
      </c>
      <c r="F545" s="24"/>
      <c r="G545" s="15" t="s">
        <v>556</v>
      </c>
      <c r="H545" s="15"/>
      <c r="I545" s="15"/>
      <c r="J545" s="17" t="s">
        <v>2</v>
      </c>
      <c r="K545" s="28">
        <v>72075</v>
      </c>
      <c r="L545" s="11">
        <v>6137.5</v>
      </c>
      <c r="M545" s="11">
        <v>5912.5</v>
      </c>
      <c r="N545" s="11">
        <f>2831.25+2831.25</f>
        <v>5662.5</v>
      </c>
      <c r="O545" s="11">
        <f>2693.75+2693.75</f>
        <v>5387.5</v>
      </c>
      <c r="P545" s="11">
        <f>2543.75+2543.75</f>
        <v>5087.5</v>
      </c>
      <c r="Q545" s="11">
        <f>2381.25+2381.25</f>
        <v>4762.5</v>
      </c>
      <c r="R545" s="11">
        <f>2212.5+2212.5</f>
        <v>4425</v>
      </c>
      <c r="S545" s="11">
        <f>2012.5+2012.5</f>
        <v>4025</v>
      </c>
      <c r="T545" s="11">
        <f>1812.5+1812.5</f>
        <v>3625</v>
      </c>
      <c r="U545" s="11">
        <f>1612.5+1612.5</f>
        <v>3225</v>
      </c>
      <c r="V545" s="11">
        <f>1412.5+1412.5</f>
        <v>2825</v>
      </c>
      <c r="W545" s="11">
        <f>1212.5+1212.5</f>
        <v>2425</v>
      </c>
      <c r="X545" s="11">
        <f>1012.5+1012.5</f>
        <v>2025</v>
      </c>
      <c r="Y545" s="11">
        <f>787.5+787.5</f>
        <v>1575</v>
      </c>
      <c r="Z545" s="505">
        <f>562.5+562.5</f>
        <v>1125</v>
      </c>
      <c r="AA545" s="544">
        <f>337.5+337.5</f>
        <v>675</v>
      </c>
      <c r="AB545" s="11">
        <f>112.5+112.5</f>
        <v>225</v>
      </c>
      <c r="AC545" s="17" t="s">
        <v>11</v>
      </c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</row>
    <row r="546" spans="1:46" s="6" customFormat="1" ht="13.8" thickBot="1" x14ac:dyDescent="0.3">
      <c r="A546" s="327" t="s">
        <v>621</v>
      </c>
      <c r="B546" s="328"/>
      <c r="C546" s="329"/>
      <c r="D546" s="87"/>
      <c r="E546" s="88" t="s">
        <v>14</v>
      </c>
      <c r="F546" s="88" t="s">
        <v>406</v>
      </c>
      <c r="G546" s="126" t="s">
        <v>557</v>
      </c>
      <c r="H546" s="126"/>
      <c r="I546" s="126"/>
      <c r="J546" s="41" t="s">
        <v>6</v>
      </c>
      <c r="K546" s="42">
        <f>K545+K544</f>
        <v>257075</v>
      </c>
      <c r="L546" s="43">
        <f>L545+L544</f>
        <v>16137.5</v>
      </c>
      <c r="M546" s="43">
        <f t="shared" ref="M546:AB546" si="375">M545+M544</f>
        <v>15912.5</v>
      </c>
      <c r="N546" s="43">
        <f t="shared" si="375"/>
        <v>15662.5</v>
      </c>
      <c r="O546" s="43">
        <f t="shared" si="375"/>
        <v>15387.5</v>
      </c>
      <c r="P546" s="43">
        <f t="shared" si="375"/>
        <v>15087.5</v>
      </c>
      <c r="Q546" s="43">
        <f t="shared" si="375"/>
        <v>14762.5</v>
      </c>
      <c r="R546" s="43">
        <f t="shared" si="375"/>
        <v>14425</v>
      </c>
      <c r="S546" s="43">
        <f t="shared" si="375"/>
        <v>14025</v>
      </c>
      <c r="T546" s="43">
        <f t="shared" si="375"/>
        <v>13625</v>
      </c>
      <c r="U546" s="43">
        <f t="shared" si="375"/>
        <v>13225</v>
      </c>
      <c r="V546" s="43">
        <f t="shared" si="375"/>
        <v>12825</v>
      </c>
      <c r="W546" s="43">
        <f t="shared" si="375"/>
        <v>12425</v>
      </c>
      <c r="X546" s="43">
        <f t="shared" si="375"/>
        <v>12025</v>
      </c>
      <c r="Y546" s="43">
        <f t="shared" si="375"/>
        <v>11575</v>
      </c>
      <c r="Z546" s="499">
        <f t="shared" si="375"/>
        <v>11125</v>
      </c>
      <c r="AA546" s="538">
        <f t="shared" si="375"/>
        <v>10675</v>
      </c>
      <c r="AB546" s="43">
        <f t="shared" si="375"/>
        <v>5225</v>
      </c>
      <c r="AC546" s="41" t="s">
        <v>11</v>
      </c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</row>
    <row r="547" spans="1:46" s="2" customFormat="1" x14ac:dyDescent="0.25">
      <c r="A547" s="26"/>
      <c r="B547" s="26"/>
      <c r="C547" s="306"/>
      <c r="D547" s="14"/>
      <c r="E547" s="24"/>
      <c r="F547" s="24"/>
      <c r="G547" s="13" t="s">
        <v>33</v>
      </c>
      <c r="H547" s="13">
        <v>60772919</v>
      </c>
      <c r="I547" s="13">
        <v>591100</v>
      </c>
      <c r="J547" s="14" t="s">
        <v>1</v>
      </c>
      <c r="K547" s="29">
        <f t="shared" ref="K547:M548" si="376">K544+K541+K538+K535+K532+K529+K526</f>
        <v>1424000</v>
      </c>
      <c r="L547" s="7">
        <f t="shared" si="376"/>
        <v>100000</v>
      </c>
      <c r="M547" s="7">
        <f t="shared" si="376"/>
        <v>95000</v>
      </c>
      <c r="N547" s="7">
        <f>N544+N541+N538+N535+N532+N529</f>
        <v>75000</v>
      </c>
      <c r="O547" s="7">
        <f t="shared" ref="O547:V547" si="377">O544+O541+O538+O535+O532+O529</f>
        <v>75000</v>
      </c>
      <c r="P547" s="7">
        <f t="shared" si="377"/>
        <v>75000</v>
      </c>
      <c r="Q547" s="7">
        <f t="shared" si="377"/>
        <v>75000</v>
      </c>
      <c r="R547" s="7">
        <f t="shared" si="377"/>
        <v>75000</v>
      </c>
      <c r="S547" s="7">
        <f t="shared" si="377"/>
        <v>75000</v>
      </c>
      <c r="T547" s="7">
        <f t="shared" si="377"/>
        <v>75000</v>
      </c>
      <c r="U547" s="7">
        <f t="shared" si="377"/>
        <v>70000</v>
      </c>
      <c r="V547" s="7">
        <f t="shared" si="377"/>
        <v>70000</v>
      </c>
      <c r="W547" s="7">
        <f>W544+W541+W538+W535+W529</f>
        <v>60000</v>
      </c>
      <c r="X547" s="7">
        <f>X544+X541+X535+X529</f>
        <v>55000</v>
      </c>
      <c r="Y547" s="7">
        <f t="shared" ref="Y547:AB547" si="378">Y544+Y541+Y535+Y529</f>
        <v>55000</v>
      </c>
      <c r="Z547" s="501">
        <f t="shared" si="378"/>
        <v>55000</v>
      </c>
      <c r="AA547" s="540">
        <f t="shared" si="378"/>
        <v>55000</v>
      </c>
      <c r="AB547" s="7">
        <f t="shared" si="378"/>
        <v>45000</v>
      </c>
      <c r="AC547" s="7">
        <f>AC535+AC529</f>
        <v>35000</v>
      </c>
      <c r="AD547" s="40" t="s">
        <v>11</v>
      </c>
    </row>
    <row r="548" spans="1:46" s="2" customFormat="1" x14ac:dyDescent="0.25">
      <c r="A548" s="26"/>
      <c r="B548" s="26"/>
      <c r="C548" s="306"/>
      <c r="D548" s="14"/>
      <c r="E548" s="24"/>
      <c r="F548" s="24"/>
      <c r="G548" s="15"/>
      <c r="H548" s="13">
        <v>60772919</v>
      </c>
      <c r="I548" s="153">
        <v>595100</v>
      </c>
      <c r="J548" s="18" t="s">
        <v>2</v>
      </c>
      <c r="K548" s="30">
        <f t="shared" si="376"/>
        <v>511590</v>
      </c>
      <c r="L548" s="16">
        <f t="shared" si="376"/>
        <v>44406.25</v>
      </c>
      <c r="M548" s="16">
        <f t="shared" si="376"/>
        <v>42156.25</v>
      </c>
      <c r="N548" s="16">
        <f>N545+N542+N539+N536+N533+N530</f>
        <v>39781.25</v>
      </c>
      <c r="O548" s="16">
        <f t="shared" ref="O548:V548" si="379">O545+O542+O539+O536+O533+O530</f>
        <v>37718.75</v>
      </c>
      <c r="P548" s="16">
        <f t="shared" si="379"/>
        <v>35468.75</v>
      </c>
      <c r="Q548" s="16">
        <f t="shared" si="379"/>
        <v>33031.25</v>
      </c>
      <c r="R548" s="16">
        <f t="shared" si="379"/>
        <v>30500</v>
      </c>
      <c r="S548" s="16">
        <f t="shared" si="379"/>
        <v>27500</v>
      </c>
      <c r="T548" s="16">
        <f t="shared" si="379"/>
        <v>24500</v>
      </c>
      <c r="U548" s="16">
        <f t="shared" si="379"/>
        <v>21500</v>
      </c>
      <c r="V548" s="16">
        <f t="shared" si="379"/>
        <v>18700</v>
      </c>
      <c r="W548" s="16">
        <f>W545+W542+W539+W536+W530</f>
        <v>15900</v>
      </c>
      <c r="X548" s="16">
        <f>X545+X542+X536+X530</f>
        <v>13500</v>
      </c>
      <c r="Y548" s="16">
        <f t="shared" ref="Y548:AB548" si="380">Y545+Y542+Y536+Y530</f>
        <v>11025</v>
      </c>
      <c r="Z548" s="502">
        <f t="shared" si="380"/>
        <v>8550</v>
      </c>
      <c r="AA548" s="541">
        <f t="shared" si="380"/>
        <v>6075</v>
      </c>
      <c r="AB548" s="16">
        <f t="shared" si="380"/>
        <v>3600</v>
      </c>
      <c r="AC548" s="16">
        <f>AC536+AC530</f>
        <v>1575</v>
      </c>
      <c r="AD548" s="56" t="s">
        <v>11</v>
      </c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</row>
    <row r="549" spans="1:46" s="8" customFormat="1" ht="13.8" thickBot="1" x14ac:dyDescent="0.3">
      <c r="A549" s="122"/>
      <c r="B549" s="122"/>
      <c r="C549" s="307"/>
      <c r="D549" s="87"/>
      <c r="E549" s="87"/>
      <c r="F549" s="87"/>
      <c r="G549" s="87"/>
      <c r="H549" s="87"/>
      <c r="I549" s="87"/>
      <c r="J549" s="50" t="s">
        <v>5</v>
      </c>
      <c r="K549" s="51">
        <f>K548+K547</f>
        <v>1935590</v>
      </c>
      <c r="L549" s="46">
        <f>L548+L547</f>
        <v>144406.25</v>
      </c>
      <c r="M549" s="46">
        <f t="shared" ref="M549:AC549" si="381">M548+M547</f>
        <v>137156.25</v>
      </c>
      <c r="N549" s="46">
        <f t="shared" si="381"/>
        <v>114781.25</v>
      </c>
      <c r="O549" s="46">
        <f t="shared" si="381"/>
        <v>112718.75</v>
      </c>
      <c r="P549" s="46">
        <f t="shared" si="381"/>
        <v>110468.75</v>
      </c>
      <c r="Q549" s="46">
        <f t="shared" si="381"/>
        <v>108031.25</v>
      </c>
      <c r="R549" s="46">
        <f t="shared" si="381"/>
        <v>105500</v>
      </c>
      <c r="S549" s="46">
        <f t="shared" si="381"/>
        <v>102500</v>
      </c>
      <c r="T549" s="46">
        <f t="shared" si="381"/>
        <v>99500</v>
      </c>
      <c r="U549" s="46">
        <f t="shared" si="381"/>
        <v>91500</v>
      </c>
      <c r="V549" s="46">
        <f t="shared" si="381"/>
        <v>88700</v>
      </c>
      <c r="W549" s="46">
        <f t="shared" si="381"/>
        <v>75900</v>
      </c>
      <c r="X549" s="46">
        <f t="shared" si="381"/>
        <v>68500</v>
      </c>
      <c r="Y549" s="46">
        <f t="shared" si="381"/>
        <v>66025</v>
      </c>
      <c r="Z549" s="503">
        <f t="shared" si="381"/>
        <v>63550</v>
      </c>
      <c r="AA549" s="542">
        <f t="shared" si="381"/>
        <v>61075</v>
      </c>
      <c r="AB549" s="46">
        <f t="shared" si="381"/>
        <v>48600</v>
      </c>
      <c r="AC549" s="46">
        <f t="shared" si="381"/>
        <v>36575</v>
      </c>
      <c r="AD549" s="47" t="s">
        <v>11</v>
      </c>
      <c r="AE549" s="47"/>
      <c r="AF549" s="47"/>
      <c r="AG549" s="47"/>
      <c r="AH549" s="47"/>
      <c r="AI549" s="47"/>
      <c r="AJ549" s="47"/>
      <c r="AK549" s="47"/>
      <c r="AL549" s="47"/>
      <c r="AM549" s="47"/>
      <c r="AN549" s="47"/>
      <c r="AO549" s="47"/>
      <c r="AP549" s="47"/>
      <c r="AQ549" s="47"/>
      <c r="AR549" s="47"/>
      <c r="AS549" s="47"/>
      <c r="AT549" s="47"/>
    </row>
    <row r="550" spans="1:46" s="6" customFormat="1" x14ac:dyDescent="0.25">
      <c r="A550" s="26" t="s">
        <v>4</v>
      </c>
      <c r="B550" s="26" t="s">
        <v>97</v>
      </c>
      <c r="C550" s="306"/>
      <c r="D550" s="10" t="s">
        <v>4</v>
      </c>
      <c r="E550" s="25">
        <v>39979</v>
      </c>
      <c r="F550" s="25" t="s">
        <v>278</v>
      </c>
      <c r="G550" s="12" t="s">
        <v>124</v>
      </c>
      <c r="H550" s="12">
        <v>61319214</v>
      </c>
      <c r="I550" s="12">
        <v>587005</v>
      </c>
      <c r="J550" s="2" t="s">
        <v>1</v>
      </c>
      <c r="K550" s="27">
        <v>225000</v>
      </c>
      <c r="L550" s="4">
        <v>25000</v>
      </c>
      <c r="M550" s="4">
        <v>25000</v>
      </c>
      <c r="N550" s="4">
        <v>25000</v>
      </c>
      <c r="O550" s="4">
        <v>25000</v>
      </c>
      <c r="P550" s="4">
        <v>25000</v>
      </c>
      <c r="Q550" s="4">
        <v>25000</v>
      </c>
      <c r="R550" s="4">
        <v>25000</v>
      </c>
      <c r="S550" s="2" t="s">
        <v>11</v>
      </c>
      <c r="T550" s="4"/>
      <c r="U550" s="4"/>
      <c r="V550" s="4"/>
      <c r="W550" s="4"/>
      <c r="X550" s="4"/>
      <c r="Y550" s="4"/>
      <c r="Z550" s="504"/>
      <c r="AA550" s="543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1:46" s="6" customFormat="1" x14ac:dyDescent="0.25">
      <c r="A551" s="26"/>
      <c r="B551" s="26"/>
      <c r="C551" s="306"/>
      <c r="D551" s="84"/>
      <c r="E551" s="25" t="s">
        <v>13</v>
      </c>
      <c r="F551" s="25"/>
      <c r="G551" s="12" t="s">
        <v>191</v>
      </c>
      <c r="H551" s="12"/>
      <c r="I551" s="12"/>
      <c r="J551" s="17" t="s">
        <v>2</v>
      </c>
      <c r="K551" s="28">
        <v>35250</v>
      </c>
      <c r="L551" s="11">
        <v>5281.25</v>
      </c>
      <c r="M551" s="11">
        <v>4718.75</v>
      </c>
      <c r="N551" s="11">
        <f>2046.88+2046.87</f>
        <v>4093.75</v>
      </c>
      <c r="O551" s="11">
        <f>1703.13+1703.12</f>
        <v>3406.25</v>
      </c>
      <c r="P551" s="142">
        <f>1328.13+1328.12</f>
        <v>2656.25</v>
      </c>
      <c r="Q551" s="142">
        <f>921.88+921.87</f>
        <v>1843.75</v>
      </c>
      <c r="R551" s="142">
        <f>500+500</f>
        <v>1000</v>
      </c>
      <c r="S551" s="368" t="s">
        <v>11</v>
      </c>
      <c r="T551" s="142"/>
      <c r="U551" s="11"/>
      <c r="V551" s="11"/>
      <c r="W551" s="11"/>
      <c r="X551" s="11"/>
      <c r="Y551" s="11"/>
      <c r="Z551" s="505"/>
      <c r="AA551" s="544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</row>
    <row r="552" spans="1:46" s="6" customFormat="1" ht="13.8" thickBot="1" x14ac:dyDescent="0.3">
      <c r="A552" s="120"/>
      <c r="B552" s="120"/>
      <c r="C552" s="307"/>
      <c r="D552" s="89"/>
      <c r="E552" s="90" t="s">
        <v>16</v>
      </c>
      <c r="F552" s="90" t="s">
        <v>410</v>
      </c>
      <c r="G552" s="124"/>
      <c r="H552" s="124"/>
      <c r="I552" s="124"/>
      <c r="J552" s="41" t="s">
        <v>6</v>
      </c>
      <c r="K552" s="42">
        <f>K551+K550</f>
        <v>260250</v>
      </c>
      <c r="L552" s="43">
        <f>L551+L550</f>
        <v>30281.25</v>
      </c>
      <c r="M552" s="43">
        <f t="shared" ref="M552:N552" si="382">M551+M550</f>
        <v>29718.75</v>
      </c>
      <c r="N552" s="43">
        <f t="shared" si="382"/>
        <v>29093.75</v>
      </c>
      <c r="O552" s="43">
        <f>O551+O550</f>
        <v>28406.25</v>
      </c>
      <c r="P552" s="43">
        <f>P551+P550</f>
        <v>27656.25</v>
      </c>
      <c r="Q552" s="43">
        <f>Q551+Q550</f>
        <v>26843.75</v>
      </c>
      <c r="R552" s="43">
        <f t="shared" ref="R552" si="383">R551+R550</f>
        <v>26000</v>
      </c>
      <c r="S552" s="41" t="s">
        <v>11</v>
      </c>
      <c r="T552" s="43"/>
      <c r="U552" s="43"/>
      <c r="V552" s="43"/>
      <c r="W552" s="43"/>
      <c r="X552" s="43"/>
      <c r="Y552" s="43"/>
      <c r="Z552" s="499"/>
      <c r="AA552" s="538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</row>
    <row r="553" spans="1:46" s="6" customFormat="1" x14ac:dyDescent="0.25">
      <c r="A553" s="26" t="s">
        <v>99</v>
      </c>
      <c r="B553" s="26" t="s">
        <v>96</v>
      </c>
      <c r="C553" s="306"/>
      <c r="D553" s="10" t="s">
        <v>4</v>
      </c>
      <c r="E553" s="25">
        <v>39979</v>
      </c>
      <c r="F553" s="25" t="s">
        <v>269</v>
      </c>
      <c r="G553" s="313" t="s">
        <v>190</v>
      </c>
      <c r="H553" s="313">
        <v>31139190</v>
      </c>
      <c r="I553" s="313">
        <v>584002</v>
      </c>
      <c r="J553" s="2" t="s">
        <v>1</v>
      </c>
      <c r="K553" s="27">
        <v>74000</v>
      </c>
      <c r="L553" s="4">
        <v>5000</v>
      </c>
      <c r="M553" s="4">
        <v>5000</v>
      </c>
      <c r="N553" s="4">
        <v>5000</v>
      </c>
      <c r="O553" s="4">
        <v>5000</v>
      </c>
      <c r="P553" s="4">
        <v>5000</v>
      </c>
      <c r="Q553" s="4">
        <v>5000</v>
      </c>
      <c r="R553" s="4">
        <v>5000</v>
      </c>
      <c r="S553" s="4">
        <v>5000</v>
      </c>
      <c r="T553" s="4">
        <v>5000</v>
      </c>
      <c r="U553" s="4">
        <v>5000</v>
      </c>
      <c r="V553" s="4">
        <v>5000</v>
      </c>
      <c r="W553" s="4">
        <v>5000</v>
      </c>
      <c r="X553" s="4">
        <v>5000</v>
      </c>
      <c r="Y553" s="2" t="s">
        <v>11</v>
      </c>
      <c r="Z553" s="504"/>
      <c r="AA553" s="543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1:46" s="6" customFormat="1" x14ac:dyDescent="0.25">
      <c r="A554" s="400"/>
      <c r="B554" s="26"/>
      <c r="C554" s="306"/>
      <c r="D554" s="84"/>
      <c r="E554" s="25" t="s">
        <v>12</v>
      </c>
      <c r="F554" s="25"/>
      <c r="G554" s="12" t="s">
        <v>187</v>
      </c>
      <c r="H554" s="12"/>
      <c r="I554" s="12"/>
      <c r="J554" s="17" t="s">
        <v>2</v>
      </c>
      <c r="K554" s="28">
        <v>22402.5</v>
      </c>
      <c r="L554" s="11">
        <v>2281.25</v>
      </c>
      <c r="M554" s="11">
        <v>2168.75</v>
      </c>
      <c r="N554" s="11">
        <f>1021.88+1021.87</f>
        <v>2043.75</v>
      </c>
      <c r="O554" s="11">
        <f>953.13+953.12</f>
        <v>1906.25</v>
      </c>
      <c r="P554" s="142">
        <f>878.13+878.12</f>
        <v>1756.25</v>
      </c>
      <c r="Q554" s="142">
        <f>796.88+796.87</f>
        <v>1593.75</v>
      </c>
      <c r="R554" s="142">
        <f>712.5+712.5</f>
        <v>1425</v>
      </c>
      <c r="S554" s="142">
        <f>612.5+612.5</f>
        <v>1225</v>
      </c>
      <c r="T554" s="142">
        <f>512.5+512.5</f>
        <v>1025</v>
      </c>
      <c r="U554" s="11">
        <f>412.5+412.5</f>
        <v>825</v>
      </c>
      <c r="V554" s="11">
        <f>312.5+312.5</f>
        <v>625</v>
      </c>
      <c r="W554" s="11">
        <f>212.5+212.5</f>
        <v>425</v>
      </c>
      <c r="X554" s="11">
        <f>112.5+112.5</f>
        <v>225</v>
      </c>
      <c r="Y554" s="17" t="s">
        <v>11</v>
      </c>
      <c r="Z554" s="505"/>
      <c r="AA554" s="544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</row>
    <row r="555" spans="1:46" s="6" customFormat="1" ht="13.8" thickBot="1" x14ac:dyDescent="0.3">
      <c r="A555" s="409" t="s">
        <v>1114</v>
      </c>
      <c r="B555" s="120"/>
      <c r="C555" s="307"/>
      <c r="D555" s="89"/>
      <c r="E555" s="90" t="s">
        <v>16</v>
      </c>
      <c r="F555" s="90" t="s">
        <v>407</v>
      </c>
      <c r="G555" s="124" t="s">
        <v>188</v>
      </c>
      <c r="H555" s="124"/>
      <c r="I555" s="124"/>
      <c r="J555" s="41" t="s">
        <v>6</v>
      </c>
      <c r="K555" s="42">
        <f>K554+K553</f>
        <v>96402.5</v>
      </c>
      <c r="L555" s="43">
        <f>L554+L553</f>
        <v>7281.25</v>
      </c>
      <c r="M555" s="43">
        <f t="shared" ref="M555:N555" si="384">M554+M553</f>
        <v>7168.75</v>
      </c>
      <c r="N555" s="43">
        <f t="shared" si="384"/>
        <v>7043.75</v>
      </c>
      <c r="O555" s="43">
        <f>O554+O553</f>
        <v>6906.25</v>
      </c>
      <c r="P555" s="43">
        <f>P554+P553</f>
        <v>6756.25</v>
      </c>
      <c r="Q555" s="43">
        <f>Q554+Q553</f>
        <v>6593.75</v>
      </c>
      <c r="R555" s="43">
        <f t="shared" ref="R555:X555" si="385">R554+R553</f>
        <v>6425</v>
      </c>
      <c r="S555" s="43">
        <f t="shared" si="385"/>
        <v>6225</v>
      </c>
      <c r="T555" s="43">
        <f t="shared" si="385"/>
        <v>6025</v>
      </c>
      <c r="U555" s="43">
        <f t="shared" si="385"/>
        <v>5825</v>
      </c>
      <c r="V555" s="43">
        <f t="shared" si="385"/>
        <v>5625</v>
      </c>
      <c r="W555" s="43">
        <f t="shared" si="385"/>
        <v>5425</v>
      </c>
      <c r="X555" s="43">
        <f t="shared" si="385"/>
        <v>5225</v>
      </c>
      <c r="Y555" s="41" t="s">
        <v>11</v>
      </c>
      <c r="Z555" s="499"/>
      <c r="AA555" s="538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</row>
    <row r="556" spans="1:46" s="6" customFormat="1" x14ac:dyDescent="0.25">
      <c r="A556" s="26" t="s">
        <v>4</v>
      </c>
      <c r="B556" s="26" t="s">
        <v>97</v>
      </c>
      <c r="C556" s="306"/>
      <c r="D556" s="10" t="s">
        <v>4</v>
      </c>
      <c r="E556" s="25">
        <v>39979</v>
      </c>
      <c r="F556" s="25" t="s">
        <v>267</v>
      </c>
      <c r="G556" s="316" t="s">
        <v>125</v>
      </c>
      <c r="H556" s="316"/>
      <c r="I556" s="316"/>
      <c r="J556" s="2" t="s">
        <v>1</v>
      </c>
      <c r="K556" s="27">
        <v>316500</v>
      </c>
      <c r="L556" s="4">
        <v>20000</v>
      </c>
      <c r="M556" s="4">
        <v>15000</v>
      </c>
      <c r="N556" s="4">
        <v>15000</v>
      </c>
      <c r="O556" s="4">
        <v>15000</v>
      </c>
      <c r="P556" s="4">
        <v>15000</v>
      </c>
      <c r="Q556" s="4">
        <v>15000</v>
      </c>
      <c r="R556" s="4">
        <v>15000</v>
      </c>
      <c r="S556" s="4">
        <v>15000</v>
      </c>
      <c r="T556" s="4">
        <v>15000</v>
      </c>
      <c r="U556" s="4">
        <v>15000</v>
      </c>
      <c r="V556" s="4">
        <v>15000</v>
      </c>
      <c r="W556" s="4">
        <v>15000</v>
      </c>
      <c r="X556" s="4">
        <v>15000</v>
      </c>
      <c r="Y556" s="4">
        <v>15000</v>
      </c>
      <c r="Z556" s="504">
        <v>15000</v>
      </c>
      <c r="AA556" s="543">
        <v>15000</v>
      </c>
      <c r="AB556" s="4">
        <v>15000</v>
      </c>
      <c r="AC556" s="4">
        <v>15000</v>
      </c>
      <c r="AD556" s="2" t="s">
        <v>11</v>
      </c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1:46" s="6" customFormat="1" x14ac:dyDescent="0.25">
      <c r="A557" s="400"/>
      <c r="B557" s="26"/>
      <c r="C557" s="306"/>
      <c r="D557" s="84"/>
      <c r="E557" s="317" t="s">
        <v>13</v>
      </c>
      <c r="F557" s="25"/>
      <c r="G557" s="12" t="s">
        <v>609</v>
      </c>
      <c r="H557" s="12"/>
      <c r="I557" s="12"/>
      <c r="J557" s="17" t="s">
        <v>2</v>
      </c>
      <c r="K557" s="28">
        <v>128733.75</v>
      </c>
      <c r="L557" s="11">
        <v>10331.25</v>
      </c>
      <c r="M557" s="11">
        <v>9881.25</v>
      </c>
      <c r="N557" s="11">
        <f>4753.13+4753.12</f>
        <v>9506.25</v>
      </c>
      <c r="O557" s="11">
        <f>4546.88+4546.87</f>
        <v>9093.75</v>
      </c>
      <c r="P557" s="142">
        <f>4321.88+4321.87</f>
        <v>8643.75</v>
      </c>
      <c r="Q557" s="142">
        <f>4078.13+4078.12</f>
        <v>8156.25</v>
      </c>
      <c r="R557" s="142">
        <f>3825+3825</f>
        <v>7650</v>
      </c>
      <c r="S557" s="142">
        <f>3525+3525</f>
        <v>7050</v>
      </c>
      <c r="T557" s="142">
        <f>3225+3225</f>
        <v>6450</v>
      </c>
      <c r="U557" s="11">
        <f>2925+2925</f>
        <v>5850</v>
      </c>
      <c r="V557" s="11">
        <f>2625+2625</f>
        <v>5250</v>
      </c>
      <c r="W557" s="11">
        <f>2325+2325</f>
        <v>4650</v>
      </c>
      <c r="X557" s="11">
        <f>2025+2025</f>
        <v>4050</v>
      </c>
      <c r="Y557" s="11">
        <f>1687.5+1687.5</f>
        <v>3375</v>
      </c>
      <c r="Z557" s="505">
        <f>1350+1350</f>
        <v>2700</v>
      </c>
      <c r="AA557" s="544">
        <f>1012.5+1012.5</f>
        <v>2025</v>
      </c>
      <c r="AB557" s="11">
        <f>675+675</f>
        <v>1350</v>
      </c>
      <c r="AC557" s="11">
        <f>337.5+337.5</f>
        <v>675</v>
      </c>
      <c r="AD557" s="17" t="s">
        <v>11</v>
      </c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</row>
    <row r="558" spans="1:46" s="6" customFormat="1" ht="13.8" thickBot="1" x14ac:dyDescent="0.3">
      <c r="A558" s="409" t="s">
        <v>1114</v>
      </c>
      <c r="B558" s="120"/>
      <c r="C558" s="307"/>
      <c r="D558" s="89"/>
      <c r="E558" s="90" t="s">
        <v>16</v>
      </c>
      <c r="F558" s="90" t="s">
        <v>407</v>
      </c>
      <c r="G558" s="124" t="s">
        <v>610</v>
      </c>
      <c r="H558" s="124"/>
      <c r="I558" s="124"/>
      <c r="J558" s="41" t="s">
        <v>6</v>
      </c>
      <c r="K558" s="42">
        <f>K557+K556</f>
        <v>445233.75</v>
      </c>
      <c r="L558" s="43">
        <f>L557+L556</f>
        <v>30331.25</v>
      </c>
      <c r="M558" s="43">
        <f t="shared" ref="M558:N558" si="386">M557+M556</f>
        <v>24881.25</v>
      </c>
      <c r="N558" s="43">
        <f t="shared" si="386"/>
        <v>24506.25</v>
      </c>
      <c r="O558" s="43">
        <f>O557+O556</f>
        <v>24093.75</v>
      </c>
      <c r="P558" s="43">
        <f>P557+P556</f>
        <v>23643.75</v>
      </c>
      <c r="Q558" s="43">
        <f>Q557+Q556</f>
        <v>23156.25</v>
      </c>
      <c r="R558" s="43">
        <f t="shared" ref="R558:AA558" si="387">R557+R556</f>
        <v>22650</v>
      </c>
      <c r="S558" s="43">
        <f t="shared" si="387"/>
        <v>22050</v>
      </c>
      <c r="T558" s="43">
        <f t="shared" si="387"/>
        <v>21450</v>
      </c>
      <c r="U558" s="43">
        <f t="shared" si="387"/>
        <v>20850</v>
      </c>
      <c r="V558" s="43">
        <f t="shared" si="387"/>
        <v>20250</v>
      </c>
      <c r="W558" s="43">
        <f t="shared" si="387"/>
        <v>19650</v>
      </c>
      <c r="X558" s="43">
        <f t="shared" si="387"/>
        <v>19050</v>
      </c>
      <c r="Y558" s="43">
        <f t="shared" si="387"/>
        <v>18375</v>
      </c>
      <c r="Z558" s="499">
        <f t="shared" si="387"/>
        <v>17700</v>
      </c>
      <c r="AA558" s="538">
        <f t="shared" si="387"/>
        <v>17025</v>
      </c>
      <c r="AB558" s="43">
        <f t="shared" ref="AB558:AC558" si="388">AB557+AB556</f>
        <v>16350</v>
      </c>
      <c r="AC558" s="43">
        <f t="shared" si="388"/>
        <v>15675</v>
      </c>
      <c r="AD558" s="41" t="s">
        <v>11</v>
      </c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</row>
    <row r="559" spans="1:46" s="6" customFormat="1" x14ac:dyDescent="0.25">
      <c r="A559" s="26" t="s">
        <v>4</v>
      </c>
      <c r="B559" s="26" t="s">
        <v>97</v>
      </c>
      <c r="C559" s="306"/>
      <c r="D559" s="10" t="s">
        <v>4</v>
      </c>
      <c r="E559" s="25">
        <v>39979</v>
      </c>
      <c r="F559" s="25" t="s">
        <v>267</v>
      </c>
      <c r="G559" s="316" t="s">
        <v>26</v>
      </c>
      <c r="H559" s="316"/>
      <c r="I559" s="316"/>
      <c r="J559" s="2" t="s">
        <v>1</v>
      </c>
      <c r="K559" s="27">
        <v>300000</v>
      </c>
      <c r="L559" s="4">
        <v>15000</v>
      </c>
      <c r="M559" s="4">
        <v>15000</v>
      </c>
      <c r="N559" s="4">
        <v>15000</v>
      </c>
      <c r="O559" s="4">
        <v>15000</v>
      </c>
      <c r="P559" s="4">
        <v>15000</v>
      </c>
      <c r="Q559" s="4">
        <v>15000</v>
      </c>
      <c r="R559" s="4">
        <v>15000</v>
      </c>
      <c r="S559" s="4">
        <v>15000</v>
      </c>
      <c r="T559" s="4">
        <v>15000</v>
      </c>
      <c r="U559" s="4">
        <v>15000</v>
      </c>
      <c r="V559" s="4">
        <v>15000</v>
      </c>
      <c r="W559" s="4">
        <v>15000</v>
      </c>
      <c r="X559" s="4">
        <v>15000</v>
      </c>
      <c r="Y559" s="4">
        <v>15000</v>
      </c>
      <c r="Z559" s="504">
        <v>15000</v>
      </c>
      <c r="AA559" s="543">
        <v>15000</v>
      </c>
      <c r="AB559" s="4">
        <v>15000</v>
      </c>
      <c r="AC559" s="4">
        <v>15000</v>
      </c>
      <c r="AD559" s="2" t="s">
        <v>11</v>
      </c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1:46" s="6" customFormat="1" x14ac:dyDescent="0.25">
      <c r="B560" s="26"/>
      <c r="C560" s="306"/>
      <c r="D560" s="84"/>
      <c r="E560" s="317" t="s">
        <v>13</v>
      </c>
      <c r="F560" s="25"/>
      <c r="G560" s="12" t="s">
        <v>352</v>
      </c>
      <c r="H560" s="12"/>
      <c r="I560" s="12"/>
      <c r="J560" s="17" t="s">
        <v>2</v>
      </c>
      <c r="K560" s="28">
        <v>128025</v>
      </c>
      <c r="L560" s="11">
        <v>10218.75</v>
      </c>
      <c r="M560" s="11">
        <v>9881.25</v>
      </c>
      <c r="N560" s="11">
        <f>4753.13+4753.12</f>
        <v>9506.25</v>
      </c>
      <c r="O560" s="11">
        <f>4546.88+4546.87</f>
        <v>9093.75</v>
      </c>
      <c r="P560" s="142">
        <f>4321.88+4321.87</f>
        <v>8643.75</v>
      </c>
      <c r="Q560" s="142">
        <f>4078.13+4078.12</f>
        <v>8156.25</v>
      </c>
      <c r="R560" s="142">
        <f>3825+3825</f>
        <v>7650</v>
      </c>
      <c r="S560" s="142">
        <f>3525+3525</f>
        <v>7050</v>
      </c>
      <c r="T560" s="142">
        <f>3225+3225</f>
        <v>6450</v>
      </c>
      <c r="U560" s="11">
        <f>2925+2925</f>
        <v>5850</v>
      </c>
      <c r="V560" s="11">
        <f>2625+2625</f>
        <v>5250</v>
      </c>
      <c r="W560" s="11">
        <f>2325+2325</f>
        <v>4650</v>
      </c>
      <c r="X560" s="11">
        <f>2025+2025</f>
        <v>4050</v>
      </c>
      <c r="Y560" s="11">
        <f>1687.5+1687.5</f>
        <v>3375</v>
      </c>
      <c r="Z560" s="505">
        <f>1350+1350</f>
        <v>2700</v>
      </c>
      <c r="AA560" s="544">
        <f>1012.5+1012.5</f>
        <v>2025</v>
      </c>
      <c r="AB560" s="11">
        <f>675+675</f>
        <v>1350</v>
      </c>
      <c r="AC560" s="11">
        <f>337.5+337.5</f>
        <v>675</v>
      </c>
      <c r="AD560" s="17" t="s">
        <v>11</v>
      </c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</row>
    <row r="561" spans="1:46" s="6" customFormat="1" ht="13.8" thickBot="1" x14ac:dyDescent="0.3">
      <c r="A561" s="409" t="s">
        <v>1114</v>
      </c>
      <c r="B561" s="120"/>
      <c r="C561" s="307"/>
      <c r="D561" s="89"/>
      <c r="E561" s="90" t="s">
        <v>16</v>
      </c>
      <c r="F561" s="90" t="s">
        <v>407</v>
      </c>
      <c r="G561" s="124" t="s">
        <v>305</v>
      </c>
      <c r="H561" s="124"/>
      <c r="I561" s="124"/>
      <c r="J561" s="41" t="s">
        <v>6</v>
      </c>
      <c r="K561" s="42">
        <f>K560+K559</f>
        <v>428025</v>
      </c>
      <c r="L561" s="43">
        <f>L560+L559</f>
        <v>25218.75</v>
      </c>
      <c r="M561" s="43">
        <f t="shared" ref="M561:N561" si="389">M560+M559</f>
        <v>24881.25</v>
      </c>
      <c r="N561" s="43">
        <f t="shared" si="389"/>
        <v>24506.25</v>
      </c>
      <c r="O561" s="43">
        <f>O560+O559</f>
        <v>24093.75</v>
      </c>
      <c r="P561" s="43">
        <f>P560+P559</f>
        <v>23643.75</v>
      </c>
      <c r="Q561" s="43">
        <f>Q560+Q559</f>
        <v>23156.25</v>
      </c>
      <c r="R561" s="43">
        <f t="shared" ref="R561:AA561" si="390">R560+R559</f>
        <v>22650</v>
      </c>
      <c r="S561" s="43">
        <f t="shared" si="390"/>
        <v>22050</v>
      </c>
      <c r="T561" s="43">
        <f t="shared" si="390"/>
        <v>21450</v>
      </c>
      <c r="U561" s="43">
        <f t="shared" si="390"/>
        <v>20850</v>
      </c>
      <c r="V561" s="43">
        <f t="shared" si="390"/>
        <v>20250</v>
      </c>
      <c r="W561" s="43">
        <f t="shared" si="390"/>
        <v>19650</v>
      </c>
      <c r="X561" s="43">
        <f t="shared" si="390"/>
        <v>19050</v>
      </c>
      <c r="Y561" s="43">
        <f t="shared" si="390"/>
        <v>18375</v>
      </c>
      <c r="Z561" s="499">
        <f t="shared" si="390"/>
        <v>17700</v>
      </c>
      <c r="AA561" s="538">
        <f t="shared" si="390"/>
        <v>17025</v>
      </c>
      <c r="AB561" s="43">
        <f t="shared" ref="AB561:AC561" si="391">AB560+AB559</f>
        <v>16350</v>
      </c>
      <c r="AC561" s="43">
        <f t="shared" si="391"/>
        <v>15675</v>
      </c>
      <c r="AD561" s="41" t="s">
        <v>11</v>
      </c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</row>
    <row r="562" spans="1:46" s="8" customFormat="1" x14ac:dyDescent="0.25">
      <c r="A562" s="121"/>
      <c r="B562" s="121"/>
      <c r="C562" s="306"/>
      <c r="D562" s="55"/>
      <c r="E562" s="55"/>
      <c r="F562" s="55"/>
      <c r="G562" s="9" t="s">
        <v>7</v>
      </c>
      <c r="H562" s="9">
        <v>61772919</v>
      </c>
      <c r="I562" s="9">
        <v>591100</v>
      </c>
      <c r="J562" s="10" t="s">
        <v>1</v>
      </c>
      <c r="K562" s="31">
        <f>K559+K556+K553+K550</f>
        <v>915500</v>
      </c>
      <c r="L562" s="7">
        <f>L559+L556+L553+L550</f>
        <v>65000</v>
      </c>
      <c r="M562" s="7">
        <f t="shared" ref="M562:R562" si="392">M559+M556+M553+M550</f>
        <v>60000</v>
      </c>
      <c r="N562" s="7">
        <f t="shared" si="392"/>
        <v>60000</v>
      </c>
      <c r="O562" s="7">
        <f t="shared" si="392"/>
        <v>60000</v>
      </c>
      <c r="P562" s="7">
        <f t="shared" si="392"/>
        <v>60000</v>
      </c>
      <c r="Q562" s="7">
        <f t="shared" si="392"/>
        <v>60000</v>
      </c>
      <c r="R562" s="7">
        <f t="shared" si="392"/>
        <v>60000</v>
      </c>
      <c r="S562" s="7">
        <f>S559+S556+S553</f>
        <v>35000</v>
      </c>
      <c r="T562" s="7">
        <f t="shared" ref="T562:X562" si="393">T559+T556+T553</f>
        <v>35000</v>
      </c>
      <c r="U562" s="7">
        <f t="shared" si="393"/>
        <v>35000</v>
      </c>
      <c r="V562" s="7">
        <f t="shared" si="393"/>
        <v>35000</v>
      </c>
      <c r="W562" s="7">
        <f t="shared" si="393"/>
        <v>35000</v>
      </c>
      <c r="X562" s="7">
        <f t="shared" si="393"/>
        <v>35000</v>
      </c>
      <c r="Y562" s="7">
        <f>Y559+Y556</f>
        <v>30000</v>
      </c>
      <c r="Z562" s="501">
        <f t="shared" ref="Z562:AC562" si="394">Z559+Z556</f>
        <v>30000</v>
      </c>
      <c r="AA562" s="540">
        <f t="shared" si="394"/>
        <v>30000</v>
      </c>
      <c r="AB562" s="7">
        <f t="shared" si="394"/>
        <v>30000</v>
      </c>
      <c r="AC562" s="7">
        <f t="shared" si="394"/>
        <v>30000</v>
      </c>
      <c r="AD562" s="3" t="s">
        <v>11</v>
      </c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 s="8" customFormat="1" x14ac:dyDescent="0.25">
      <c r="A563" s="121"/>
      <c r="B563" s="121"/>
      <c r="C563" s="306"/>
      <c r="D563" s="10"/>
      <c r="E563" s="10"/>
      <c r="F563" s="10"/>
      <c r="G563" s="10"/>
      <c r="H563" s="10">
        <v>61772919</v>
      </c>
      <c r="I563" s="10">
        <v>595100</v>
      </c>
      <c r="J563" s="19" t="s">
        <v>2</v>
      </c>
      <c r="K563" s="32">
        <f>K560+K557+K554+K551</f>
        <v>314411.25</v>
      </c>
      <c r="L563" s="16">
        <f>L560+L557+L554+L551</f>
        <v>28112.5</v>
      </c>
      <c r="M563" s="16">
        <f t="shared" ref="M563:R563" si="395">M560+M557+M554+M551</f>
        <v>26650</v>
      </c>
      <c r="N563" s="16">
        <f t="shared" si="395"/>
        <v>25150</v>
      </c>
      <c r="O563" s="16">
        <f t="shared" si="395"/>
        <v>23500</v>
      </c>
      <c r="P563" s="16">
        <f t="shared" si="395"/>
        <v>21700</v>
      </c>
      <c r="Q563" s="16">
        <f t="shared" si="395"/>
        <v>19750</v>
      </c>
      <c r="R563" s="16">
        <f t="shared" si="395"/>
        <v>17725</v>
      </c>
      <c r="S563" s="16">
        <f>S560+S557+S554</f>
        <v>15325</v>
      </c>
      <c r="T563" s="16">
        <f t="shared" ref="T563:X563" si="396">T560+T557+T554</f>
        <v>13925</v>
      </c>
      <c r="U563" s="16">
        <f t="shared" si="396"/>
        <v>12525</v>
      </c>
      <c r="V563" s="16">
        <f t="shared" si="396"/>
        <v>11125</v>
      </c>
      <c r="W563" s="16">
        <f t="shared" si="396"/>
        <v>9725</v>
      </c>
      <c r="X563" s="16">
        <f t="shared" si="396"/>
        <v>8325</v>
      </c>
      <c r="Y563" s="16">
        <f>Y560+Y557</f>
        <v>6750</v>
      </c>
      <c r="Z563" s="502">
        <f t="shared" ref="Z563:AC563" si="397">Z560+Z557</f>
        <v>5400</v>
      </c>
      <c r="AA563" s="541">
        <f t="shared" si="397"/>
        <v>4050</v>
      </c>
      <c r="AB563" s="16">
        <f t="shared" si="397"/>
        <v>2700</v>
      </c>
      <c r="AC563" s="16">
        <f t="shared" si="397"/>
        <v>1350</v>
      </c>
      <c r="AD563" s="20" t="s">
        <v>11</v>
      </c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</row>
    <row r="564" spans="1:46" s="8" customFormat="1" ht="13.8" thickBot="1" x14ac:dyDescent="0.3">
      <c r="A564" s="122"/>
      <c r="B564" s="122"/>
      <c r="C564" s="307"/>
      <c r="D564" s="91"/>
      <c r="E564" s="91"/>
      <c r="F564" s="91"/>
      <c r="G564" s="91"/>
      <c r="H564" s="91"/>
      <c r="I564" s="91"/>
      <c r="J564" s="52" t="s">
        <v>5</v>
      </c>
      <c r="K564" s="53">
        <f>K563+K562</f>
        <v>1229911.25</v>
      </c>
      <c r="L564" s="46">
        <f>L563+L562</f>
        <v>93112.5</v>
      </c>
      <c r="M564" s="46">
        <f>M563+M562</f>
        <v>86650</v>
      </c>
      <c r="N564" s="46">
        <f t="shared" ref="N564:Y564" si="398">N563+N562</f>
        <v>85150</v>
      </c>
      <c r="O564" s="46">
        <f t="shared" si="398"/>
        <v>83500</v>
      </c>
      <c r="P564" s="46">
        <f t="shared" si="398"/>
        <v>81700</v>
      </c>
      <c r="Q564" s="46">
        <f t="shared" si="398"/>
        <v>79750</v>
      </c>
      <c r="R564" s="46">
        <f t="shared" si="398"/>
        <v>77725</v>
      </c>
      <c r="S564" s="46">
        <f t="shared" si="398"/>
        <v>50325</v>
      </c>
      <c r="T564" s="46">
        <f t="shared" si="398"/>
        <v>48925</v>
      </c>
      <c r="U564" s="46">
        <f t="shared" si="398"/>
        <v>47525</v>
      </c>
      <c r="V564" s="46">
        <f t="shared" si="398"/>
        <v>46125</v>
      </c>
      <c r="W564" s="46">
        <f t="shared" si="398"/>
        <v>44725</v>
      </c>
      <c r="X564" s="46">
        <f t="shared" si="398"/>
        <v>43325</v>
      </c>
      <c r="Y564" s="46">
        <f t="shared" si="398"/>
        <v>36750</v>
      </c>
      <c r="Z564" s="503">
        <f t="shared" ref="Z564:AC564" si="399">Z563+Z562</f>
        <v>35400</v>
      </c>
      <c r="AA564" s="542">
        <f t="shared" si="399"/>
        <v>34050</v>
      </c>
      <c r="AB564" s="46">
        <f t="shared" si="399"/>
        <v>32700</v>
      </c>
      <c r="AC564" s="46">
        <f t="shared" si="399"/>
        <v>31350</v>
      </c>
      <c r="AD564" s="47" t="s">
        <v>11</v>
      </c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  <c r="AO564" s="47"/>
      <c r="AP564" s="47"/>
      <c r="AQ564" s="47"/>
      <c r="AR564" s="47"/>
      <c r="AS564" s="47"/>
      <c r="AT564" s="47"/>
    </row>
    <row r="565" spans="1:46" s="3" customFormat="1" x14ac:dyDescent="0.25">
      <c r="A565" s="121"/>
      <c r="B565" s="121"/>
      <c r="C565" s="306"/>
      <c r="D565" s="102"/>
      <c r="E565" s="102"/>
      <c r="F565" s="102"/>
      <c r="G565" s="103" t="s">
        <v>516</v>
      </c>
      <c r="H565" s="103"/>
      <c r="I565" s="103"/>
      <c r="J565" s="104" t="s">
        <v>1</v>
      </c>
      <c r="K565" s="105">
        <f>K562+K547+K523</f>
        <v>4468000</v>
      </c>
      <c r="L565" s="7">
        <f>L562+L547+L523</f>
        <v>400000</v>
      </c>
      <c r="M565" s="7">
        <f t="shared" ref="M565:AB565" si="400">M562+M547+M523</f>
        <v>385000</v>
      </c>
      <c r="N565" s="7">
        <f t="shared" si="400"/>
        <v>275000</v>
      </c>
      <c r="O565" s="7">
        <f t="shared" si="400"/>
        <v>265000</v>
      </c>
      <c r="P565" s="7">
        <f t="shared" si="400"/>
        <v>265000</v>
      </c>
      <c r="Q565" s="7">
        <f t="shared" si="400"/>
        <v>265000</v>
      </c>
      <c r="R565" s="7">
        <f t="shared" si="400"/>
        <v>265000</v>
      </c>
      <c r="S565" s="7">
        <f t="shared" si="400"/>
        <v>200000</v>
      </c>
      <c r="T565" s="7">
        <f t="shared" si="400"/>
        <v>165000</v>
      </c>
      <c r="U565" s="7">
        <f t="shared" si="400"/>
        <v>160000</v>
      </c>
      <c r="V565" s="7">
        <f t="shared" si="400"/>
        <v>160000</v>
      </c>
      <c r="W565" s="7">
        <f t="shared" si="400"/>
        <v>135000</v>
      </c>
      <c r="X565" s="7">
        <f t="shared" si="400"/>
        <v>125000</v>
      </c>
      <c r="Y565" s="7">
        <f t="shared" si="400"/>
        <v>120000</v>
      </c>
      <c r="Z565" s="501">
        <f t="shared" si="400"/>
        <v>120000</v>
      </c>
      <c r="AA565" s="540">
        <f t="shared" si="400"/>
        <v>120000</v>
      </c>
      <c r="AB565" s="7">
        <f t="shared" si="400"/>
        <v>110000</v>
      </c>
      <c r="AC565" s="7">
        <f>AC562+AC547</f>
        <v>65000</v>
      </c>
      <c r="AD565" s="3" t="s">
        <v>11</v>
      </c>
      <c r="AI565" s="7"/>
      <c r="AN565" s="7"/>
    </row>
    <row r="566" spans="1:46" s="3" customFormat="1" ht="13.8" thickBot="1" x14ac:dyDescent="0.3">
      <c r="A566" s="121"/>
      <c r="B566" s="121"/>
      <c r="C566" s="306"/>
      <c r="D566" s="104"/>
      <c r="E566" s="104"/>
      <c r="F566" s="104"/>
      <c r="G566" s="103"/>
      <c r="H566" s="103"/>
      <c r="I566" s="103"/>
      <c r="J566" s="106" t="s">
        <v>2</v>
      </c>
      <c r="K566" s="107">
        <f>K563+K548+K524</f>
        <v>1307980</v>
      </c>
      <c r="L566" s="22">
        <f>L563+L548+L524</f>
        <v>124793.75</v>
      </c>
      <c r="M566" s="22">
        <f t="shared" ref="M566:AB566" si="401">M563+M548+M524</f>
        <v>115793.75</v>
      </c>
      <c r="N566" s="22">
        <f t="shared" si="401"/>
        <v>106168.75</v>
      </c>
      <c r="O566" s="22">
        <f t="shared" si="401"/>
        <v>98606.25</v>
      </c>
      <c r="P566" s="22">
        <f t="shared" si="401"/>
        <v>90656.25</v>
      </c>
      <c r="Q566" s="22">
        <f t="shared" si="401"/>
        <v>82043.75</v>
      </c>
      <c r="R566" s="22">
        <f t="shared" si="401"/>
        <v>73100</v>
      </c>
      <c r="S566" s="22">
        <f t="shared" si="401"/>
        <v>62500</v>
      </c>
      <c r="T566" s="22">
        <f t="shared" si="401"/>
        <v>54500</v>
      </c>
      <c r="U566" s="22">
        <f t="shared" si="401"/>
        <v>47900</v>
      </c>
      <c r="V566" s="22">
        <f t="shared" si="401"/>
        <v>41500</v>
      </c>
      <c r="W566" s="22">
        <f t="shared" si="401"/>
        <v>35100</v>
      </c>
      <c r="X566" s="22">
        <f t="shared" si="401"/>
        <v>29700</v>
      </c>
      <c r="Y566" s="22">
        <f t="shared" si="401"/>
        <v>24075</v>
      </c>
      <c r="Z566" s="506">
        <f t="shared" si="401"/>
        <v>18675</v>
      </c>
      <c r="AA566" s="545">
        <f t="shared" si="401"/>
        <v>13275</v>
      </c>
      <c r="AB566" s="22">
        <f t="shared" si="401"/>
        <v>7875</v>
      </c>
      <c r="AC566" s="22">
        <f>AC563+AC548</f>
        <v>2925</v>
      </c>
      <c r="AD566" s="23" t="s">
        <v>11</v>
      </c>
      <c r="AE566" s="23"/>
      <c r="AF566" s="23"/>
      <c r="AG566" s="23"/>
      <c r="AH566" s="23"/>
      <c r="AI566" s="22"/>
      <c r="AJ566" s="23"/>
      <c r="AK566" s="23"/>
      <c r="AL566" s="23"/>
      <c r="AM566" s="23"/>
      <c r="AN566" s="22"/>
      <c r="AO566" s="23"/>
      <c r="AP566" s="23"/>
      <c r="AQ566" s="23"/>
      <c r="AR566" s="23"/>
      <c r="AS566" s="23"/>
      <c r="AT566" s="23"/>
    </row>
    <row r="567" spans="1:46" s="6" customFormat="1" x14ac:dyDescent="0.25">
      <c r="A567" s="26"/>
      <c r="B567" s="26"/>
      <c r="C567" s="306"/>
      <c r="D567" s="108"/>
      <c r="E567" s="108"/>
      <c r="F567" s="108"/>
      <c r="G567" s="118"/>
      <c r="H567" s="118"/>
      <c r="I567" s="118"/>
      <c r="J567" s="109" t="s">
        <v>5</v>
      </c>
      <c r="K567" s="110">
        <f>K566+K565</f>
        <v>5775980</v>
      </c>
      <c r="L567" s="67">
        <f>L566+L565</f>
        <v>524793.75</v>
      </c>
      <c r="M567" s="67">
        <f t="shared" ref="M567:AC567" si="402">M566+M565</f>
        <v>500793.75</v>
      </c>
      <c r="N567" s="67">
        <f t="shared" si="402"/>
        <v>381168.75</v>
      </c>
      <c r="O567" s="67">
        <f t="shared" si="402"/>
        <v>363606.25</v>
      </c>
      <c r="P567" s="67">
        <f t="shared" si="402"/>
        <v>355656.25</v>
      </c>
      <c r="Q567" s="67">
        <f t="shared" si="402"/>
        <v>347043.75</v>
      </c>
      <c r="R567" s="67">
        <f t="shared" si="402"/>
        <v>338100</v>
      </c>
      <c r="S567" s="67">
        <f t="shared" si="402"/>
        <v>262500</v>
      </c>
      <c r="T567" s="67">
        <f t="shared" si="402"/>
        <v>219500</v>
      </c>
      <c r="U567" s="67">
        <f t="shared" si="402"/>
        <v>207900</v>
      </c>
      <c r="V567" s="67">
        <f t="shared" si="402"/>
        <v>201500</v>
      </c>
      <c r="W567" s="67">
        <f t="shared" si="402"/>
        <v>170100</v>
      </c>
      <c r="X567" s="67">
        <f t="shared" si="402"/>
        <v>154700</v>
      </c>
      <c r="Y567" s="67">
        <f t="shared" si="402"/>
        <v>144075</v>
      </c>
      <c r="Z567" s="507">
        <f t="shared" si="402"/>
        <v>138675</v>
      </c>
      <c r="AA567" s="546">
        <f t="shared" si="402"/>
        <v>133275</v>
      </c>
      <c r="AB567" s="67">
        <f t="shared" si="402"/>
        <v>117875</v>
      </c>
      <c r="AC567" s="67">
        <f t="shared" si="402"/>
        <v>67925</v>
      </c>
      <c r="AD567" s="134" t="s">
        <v>11</v>
      </c>
      <c r="AE567" s="69"/>
      <c r="AF567" s="69"/>
      <c r="AG567" s="69"/>
      <c r="AH567" s="69"/>
      <c r="AI567" s="67"/>
      <c r="AJ567" s="69"/>
      <c r="AK567" s="69"/>
      <c r="AL567" s="69"/>
      <c r="AM567" s="69"/>
      <c r="AN567" s="67"/>
      <c r="AO567" s="69"/>
      <c r="AP567" s="69"/>
      <c r="AQ567" s="69"/>
      <c r="AR567" s="69"/>
      <c r="AS567" s="69"/>
      <c r="AT567" s="69"/>
    </row>
    <row r="568" spans="1:46" s="2" customFormat="1" x14ac:dyDescent="0.25">
      <c r="A568" s="119"/>
      <c r="B568" s="119"/>
      <c r="C568" s="308"/>
      <c r="D568" s="49"/>
      <c r="E568" s="49"/>
      <c r="F568" s="49"/>
      <c r="G568" s="137" t="s">
        <v>126</v>
      </c>
      <c r="H568" s="137"/>
      <c r="I568" s="137"/>
      <c r="J568" s="48"/>
      <c r="K568" s="96"/>
      <c r="L568" s="97"/>
      <c r="M568" s="97"/>
      <c r="N568" s="97"/>
      <c r="O568" s="97"/>
      <c r="P568" s="98"/>
      <c r="Q568" s="98"/>
      <c r="R568" s="98"/>
      <c r="S568" s="98"/>
      <c r="T568" s="98"/>
      <c r="U568" s="98"/>
      <c r="V568" s="9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</row>
    <row r="569" spans="1:46" s="2" customFormat="1" x14ac:dyDescent="0.25">
      <c r="A569" s="26"/>
      <c r="B569" s="26" t="s">
        <v>96</v>
      </c>
      <c r="C569" s="306"/>
      <c r="D569" s="33" t="s">
        <v>3</v>
      </c>
      <c r="E569" s="34">
        <v>40527</v>
      </c>
      <c r="F569" s="34" t="s">
        <v>258</v>
      </c>
      <c r="G569" s="35" t="s">
        <v>369</v>
      </c>
      <c r="H569" s="35">
        <v>31300220</v>
      </c>
      <c r="I569" s="35">
        <v>585106</v>
      </c>
      <c r="J569" s="2" t="s">
        <v>1</v>
      </c>
      <c r="K569" s="27">
        <v>58500</v>
      </c>
      <c r="L569" s="4">
        <v>18500</v>
      </c>
      <c r="M569" s="4">
        <v>15000</v>
      </c>
      <c r="N569" s="4">
        <v>15000</v>
      </c>
      <c r="O569" s="4">
        <v>10000</v>
      </c>
      <c r="P569" s="367" t="s">
        <v>11</v>
      </c>
      <c r="Q569" s="283"/>
      <c r="R569" s="283"/>
      <c r="S569" s="283"/>
      <c r="T569" s="283"/>
      <c r="Z569" s="490"/>
      <c r="AA569" s="60"/>
    </row>
    <row r="570" spans="1:46" s="2" customFormat="1" x14ac:dyDescent="0.25">
      <c r="A570" s="26"/>
      <c r="B570" s="26"/>
      <c r="C570" s="306"/>
      <c r="D570" s="33"/>
      <c r="E570" s="34" t="s">
        <v>12</v>
      </c>
      <c r="F570" s="34"/>
      <c r="G570" s="35" t="s">
        <v>428</v>
      </c>
      <c r="H570" s="35"/>
      <c r="I570" s="35"/>
      <c r="J570" s="17" t="s">
        <v>2</v>
      </c>
      <c r="K570" s="28">
        <v>4940</v>
      </c>
      <c r="L570" s="11">
        <v>1870</v>
      </c>
      <c r="M570" s="11">
        <v>1200</v>
      </c>
      <c r="N570" s="11">
        <f>450+150</f>
        <v>600</v>
      </c>
      <c r="O570" s="11">
        <v>150</v>
      </c>
      <c r="P570" s="368" t="s">
        <v>11</v>
      </c>
      <c r="Q570" s="142"/>
      <c r="R570" s="142"/>
      <c r="S570" s="142"/>
      <c r="T570" s="142"/>
      <c r="U570" s="17"/>
      <c r="V570" s="17"/>
      <c r="W570" s="17"/>
      <c r="X570" s="17"/>
      <c r="Y570" s="17"/>
      <c r="Z570" s="491"/>
      <c r="AA570" s="532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</row>
    <row r="571" spans="1:46" s="6" customFormat="1" ht="13.8" thickBot="1" x14ac:dyDescent="0.3">
      <c r="A571" s="120"/>
      <c r="B571" s="120"/>
      <c r="C571" s="307"/>
      <c r="D571" s="85"/>
      <c r="E571" s="86" t="s">
        <v>17</v>
      </c>
      <c r="F571" s="86" t="s">
        <v>410</v>
      </c>
      <c r="G571" s="125" t="s">
        <v>531</v>
      </c>
      <c r="H571" s="141"/>
      <c r="I571" s="141"/>
      <c r="J571" s="41" t="s">
        <v>6</v>
      </c>
      <c r="K571" s="42">
        <f>K570+K569</f>
        <v>63440</v>
      </c>
      <c r="L571" s="43">
        <f>L570+L569</f>
        <v>20370</v>
      </c>
      <c r="M571" s="43">
        <f>M570+M569</f>
        <v>16200</v>
      </c>
      <c r="N571" s="43">
        <f t="shared" ref="N571:O571" si="403">N570+N569</f>
        <v>15600</v>
      </c>
      <c r="O571" s="43">
        <f t="shared" si="403"/>
        <v>10150</v>
      </c>
      <c r="P571" s="41" t="s">
        <v>11</v>
      </c>
      <c r="Q571" s="43"/>
      <c r="R571" s="43"/>
      <c r="S571" s="43"/>
      <c r="T571" s="43"/>
      <c r="U571" s="41"/>
      <c r="V571" s="41"/>
      <c r="W571" s="41"/>
      <c r="X571" s="41"/>
      <c r="Y571" s="41"/>
      <c r="Z571" s="492"/>
      <c r="AA571" s="533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</row>
    <row r="572" spans="1:46" s="2" customFormat="1" x14ac:dyDescent="0.25">
      <c r="A572" s="26"/>
      <c r="B572" s="26" t="s">
        <v>96</v>
      </c>
      <c r="C572" s="306"/>
      <c r="D572" s="33" t="s">
        <v>3</v>
      </c>
      <c r="E572" s="34">
        <v>40527</v>
      </c>
      <c r="F572" s="34" t="s">
        <v>258</v>
      </c>
      <c r="G572" s="35" t="s">
        <v>132</v>
      </c>
      <c r="H572" s="35">
        <v>31300220</v>
      </c>
      <c r="I572" s="35">
        <v>582009</v>
      </c>
      <c r="J572" s="2" t="s">
        <v>1</v>
      </c>
      <c r="K572" s="27">
        <v>65000</v>
      </c>
      <c r="L572" s="4">
        <v>20000</v>
      </c>
      <c r="M572" s="4">
        <v>15000</v>
      </c>
      <c r="N572" s="4">
        <v>15000</v>
      </c>
      <c r="O572" s="4">
        <v>15000</v>
      </c>
      <c r="P572" s="367" t="s">
        <v>11</v>
      </c>
      <c r="Q572" s="283"/>
      <c r="R572" s="283"/>
      <c r="S572" s="283"/>
      <c r="T572" s="283"/>
      <c r="Z572" s="490"/>
      <c r="AA572" s="60"/>
    </row>
    <row r="573" spans="1:46" s="2" customFormat="1" x14ac:dyDescent="0.25">
      <c r="A573" s="26"/>
      <c r="B573" s="26"/>
      <c r="C573" s="306"/>
      <c r="D573" s="33"/>
      <c r="E573" s="34" t="s">
        <v>12</v>
      </c>
      <c r="F573" s="34"/>
      <c r="G573" s="35" t="s">
        <v>167</v>
      </c>
      <c r="H573" s="35"/>
      <c r="I573" s="35"/>
      <c r="J573" s="17" t="s">
        <v>2</v>
      </c>
      <c r="K573" s="28">
        <v>5600</v>
      </c>
      <c r="L573" s="11">
        <v>2050</v>
      </c>
      <c r="M573" s="11">
        <v>1350</v>
      </c>
      <c r="N573" s="11">
        <f>525+225</f>
        <v>750</v>
      </c>
      <c r="O573" s="11">
        <v>225</v>
      </c>
      <c r="P573" s="368" t="s">
        <v>11</v>
      </c>
      <c r="Q573" s="142"/>
      <c r="R573" s="142"/>
      <c r="S573" s="142"/>
      <c r="T573" s="142"/>
      <c r="U573" s="17"/>
      <c r="V573" s="17"/>
      <c r="W573" s="17"/>
      <c r="X573" s="17"/>
      <c r="Y573" s="17"/>
      <c r="Z573" s="491"/>
      <c r="AA573" s="532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</row>
    <row r="574" spans="1:46" s="6" customFormat="1" ht="13.8" thickBot="1" x14ac:dyDescent="0.3">
      <c r="A574" s="120"/>
      <c r="B574" s="120"/>
      <c r="C574" s="307"/>
      <c r="D574" s="85"/>
      <c r="E574" s="86" t="s">
        <v>161</v>
      </c>
      <c r="F574" s="86" t="s">
        <v>410</v>
      </c>
      <c r="G574" s="125"/>
      <c r="H574" s="125"/>
      <c r="I574" s="125"/>
      <c r="J574" s="41" t="s">
        <v>6</v>
      </c>
      <c r="K574" s="42">
        <f t="shared" ref="K574:M574" si="404">K573+K572</f>
        <v>70600</v>
      </c>
      <c r="L574" s="43">
        <f t="shared" si="404"/>
        <v>22050</v>
      </c>
      <c r="M574" s="43">
        <f t="shared" si="404"/>
        <v>16350</v>
      </c>
      <c r="N574" s="43">
        <f t="shared" ref="N574:O574" si="405">N573+N572</f>
        <v>15750</v>
      </c>
      <c r="O574" s="43">
        <f t="shared" si="405"/>
        <v>15225</v>
      </c>
      <c r="P574" s="41" t="s">
        <v>11</v>
      </c>
      <c r="Q574" s="43"/>
      <c r="R574" s="43"/>
      <c r="S574" s="43"/>
      <c r="T574" s="43"/>
      <c r="U574" s="41"/>
      <c r="V574" s="41"/>
      <c r="W574" s="41"/>
      <c r="X574" s="41"/>
      <c r="Y574" s="41"/>
      <c r="Z574" s="492"/>
      <c r="AA574" s="533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</row>
    <row r="575" spans="1:46" s="2" customFormat="1" x14ac:dyDescent="0.25">
      <c r="A575" s="26"/>
      <c r="B575" s="26" t="s">
        <v>96</v>
      </c>
      <c r="C575" s="306"/>
      <c r="D575" s="33" t="s">
        <v>3</v>
      </c>
      <c r="E575" s="34">
        <v>40527</v>
      </c>
      <c r="F575" s="34" t="s">
        <v>258</v>
      </c>
      <c r="G575" s="35" t="s">
        <v>127</v>
      </c>
      <c r="H575" s="35">
        <v>31300220</v>
      </c>
      <c r="I575" s="35">
        <v>587010</v>
      </c>
      <c r="J575" s="2" t="s">
        <v>1</v>
      </c>
      <c r="K575" s="27">
        <v>30700</v>
      </c>
      <c r="L575" s="4">
        <v>10700</v>
      </c>
      <c r="M575" s="4">
        <v>10000</v>
      </c>
      <c r="N575" s="4">
        <v>5000</v>
      </c>
      <c r="O575" s="4">
        <v>5000</v>
      </c>
      <c r="P575" s="367" t="s">
        <v>11</v>
      </c>
      <c r="Q575" s="283"/>
      <c r="R575" s="283"/>
      <c r="S575" s="283"/>
      <c r="T575" s="283"/>
      <c r="Z575" s="490"/>
      <c r="AA575" s="60"/>
    </row>
    <row r="576" spans="1:46" s="2" customFormat="1" x14ac:dyDescent="0.25">
      <c r="A576" s="26"/>
      <c r="B576" s="26"/>
      <c r="C576" s="306"/>
      <c r="D576" s="33"/>
      <c r="E576" s="34" t="s">
        <v>12</v>
      </c>
      <c r="F576" s="34"/>
      <c r="G576" s="35" t="s">
        <v>438</v>
      </c>
      <c r="H576" s="35"/>
      <c r="I576" s="35"/>
      <c r="J576" s="17" t="s">
        <v>2</v>
      </c>
      <c r="K576" s="28">
        <v>2428</v>
      </c>
      <c r="L576" s="11">
        <v>964</v>
      </c>
      <c r="M576" s="11">
        <v>550</v>
      </c>
      <c r="N576" s="11">
        <f>175+75</f>
        <v>250</v>
      </c>
      <c r="O576" s="11">
        <v>75</v>
      </c>
      <c r="P576" s="368" t="s">
        <v>11</v>
      </c>
      <c r="Q576" s="142"/>
      <c r="R576" s="142"/>
      <c r="S576" s="142"/>
      <c r="T576" s="142"/>
      <c r="U576" s="17"/>
      <c r="V576" s="17"/>
      <c r="W576" s="17"/>
      <c r="X576" s="17"/>
      <c r="Y576" s="17"/>
      <c r="Z576" s="491"/>
      <c r="AA576" s="532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</row>
    <row r="577" spans="1:46" s="6" customFormat="1" ht="13.8" thickBot="1" x14ac:dyDescent="0.3">
      <c r="A577" s="120"/>
      <c r="B577" s="120"/>
      <c r="C577" s="307"/>
      <c r="D577" s="85"/>
      <c r="E577" s="86" t="s">
        <v>17</v>
      </c>
      <c r="F577" s="86" t="s">
        <v>410</v>
      </c>
      <c r="G577" s="125" t="s">
        <v>437</v>
      </c>
      <c r="H577" s="125"/>
      <c r="I577" s="125"/>
      <c r="J577" s="41" t="s">
        <v>6</v>
      </c>
      <c r="K577" s="42">
        <f>K576+K575</f>
        <v>33128</v>
      </c>
      <c r="L577" s="43">
        <f>L576+L575</f>
        <v>11664</v>
      </c>
      <c r="M577" s="43">
        <f>M576+M575</f>
        <v>10550</v>
      </c>
      <c r="N577" s="43">
        <f>N576+N575</f>
        <v>5250</v>
      </c>
      <c r="O577" s="43">
        <f>O576+O575</f>
        <v>5075</v>
      </c>
      <c r="P577" s="41" t="s">
        <v>11</v>
      </c>
      <c r="Q577" s="43"/>
      <c r="R577" s="43"/>
      <c r="S577" s="43"/>
      <c r="T577" s="43"/>
      <c r="U577" s="41"/>
      <c r="V577" s="41"/>
      <c r="W577" s="41"/>
      <c r="X577" s="41"/>
      <c r="Y577" s="41"/>
      <c r="Z577" s="492"/>
      <c r="AA577" s="533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</row>
    <row r="578" spans="1:46" s="2" customFormat="1" x14ac:dyDescent="0.25">
      <c r="A578" s="26"/>
      <c r="B578" s="26" t="s">
        <v>96</v>
      </c>
      <c r="C578" s="306"/>
      <c r="D578" s="33" t="s">
        <v>3</v>
      </c>
      <c r="E578" s="34">
        <v>40527</v>
      </c>
      <c r="F578" s="34" t="s">
        <v>346</v>
      </c>
      <c r="G578" s="35" t="s">
        <v>128</v>
      </c>
      <c r="H578" s="35">
        <v>31300220</v>
      </c>
      <c r="I578" s="35">
        <v>584016</v>
      </c>
      <c r="J578" s="2" t="s">
        <v>1</v>
      </c>
      <c r="K578" s="27">
        <v>114000</v>
      </c>
      <c r="L578" s="4">
        <v>29000</v>
      </c>
      <c r="M578" s="4">
        <v>25000</v>
      </c>
      <c r="N578" s="4">
        <v>20000</v>
      </c>
      <c r="O578" s="4">
        <v>20000</v>
      </c>
      <c r="P578" s="283">
        <v>20000</v>
      </c>
      <c r="Q578" s="367" t="s">
        <v>11</v>
      </c>
      <c r="R578" s="283"/>
      <c r="S578" s="367"/>
      <c r="T578" s="283"/>
      <c r="U578" s="283"/>
      <c r="Z578" s="490"/>
      <c r="AA578" s="60"/>
    </row>
    <row r="579" spans="1:46" s="2" customFormat="1" x14ac:dyDescent="0.25">
      <c r="A579" s="26"/>
      <c r="B579" s="26"/>
      <c r="C579" s="306"/>
      <c r="D579" s="33"/>
      <c r="E579" s="34" t="s">
        <v>12</v>
      </c>
      <c r="F579" s="34"/>
      <c r="G579" s="35" t="s">
        <v>255</v>
      </c>
      <c r="H579" s="35"/>
      <c r="I579" s="35"/>
      <c r="J579" s="17" t="s">
        <v>2</v>
      </c>
      <c r="K579" s="28">
        <v>10960</v>
      </c>
      <c r="L579" s="11">
        <v>3580</v>
      </c>
      <c r="M579" s="11">
        <v>2500</v>
      </c>
      <c r="N579" s="11">
        <f>1000+600</f>
        <v>1600</v>
      </c>
      <c r="O579" s="11">
        <f>600+300</f>
        <v>900</v>
      </c>
      <c r="P579" s="142">
        <v>300</v>
      </c>
      <c r="Q579" s="368" t="s">
        <v>11</v>
      </c>
      <c r="R579" s="142"/>
      <c r="S579" s="368"/>
      <c r="T579" s="142"/>
      <c r="U579" s="142"/>
      <c r="V579" s="17"/>
      <c r="W579" s="17"/>
      <c r="X579" s="17"/>
      <c r="Y579" s="17"/>
      <c r="Z579" s="491"/>
      <c r="AA579" s="532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</row>
    <row r="580" spans="1:46" s="6" customFormat="1" ht="13.8" thickBot="1" x14ac:dyDescent="0.3">
      <c r="A580" s="120"/>
      <c r="B580" s="120"/>
      <c r="C580" s="307"/>
      <c r="D580" s="85"/>
      <c r="E580" s="86" t="s">
        <v>161</v>
      </c>
      <c r="F580" s="86" t="s">
        <v>410</v>
      </c>
      <c r="G580" s="125" t="s">
        <v>256</v>
      </c>
      <c r="H580" s="125"/>
      <c r="I580" s="125"/>
      <c r="J580" s="41" t="s">
        <v>6</v>
      </c>
      <c r="K580" s="42">
        <f>K579+K578</f>
        <v>124960</v>
      </c>
      <c r="L580" s="43">
        <f>L579+L578</f>
        <v>32580</v>
      </c>
      <c r="M580" s="43">
        <f t="shared" ref="M580:P580" si="406">M579+M578</f>
        <v>27500</v>
      </c>
      <c r="N580" s="43">
        <f t="shared" si="406"/>
        <v>21600</v>
      </c>
      <c r="O580" s="43">
        <f t="shared" si="406"/>
        <v>20900</v>
      </c>
      <c r="P580" s="43">
        <f t="shared" si="406"/>
        <v>20300</v>
      </c>
      <c r="Q580" s="41" t="s">
        <v>11</v>
      </c>
      <c r="R580" s="43"/>
      <c r="S580" s="41"/>
      <c r="T580" s="43"/>
      <c r="U580" s="43"/>
      <c r="V580" s="41"/>
      <c r="W580" s="41"/>
      <c r="X580" s="41"/>
      <c r="Y580" s="41"/>
      <c r="Z580" s="492"/>
      <c r="AA580" s="533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</row>
    <row r="581" spans="1:46" s="2" customFormat="1" x14ac:dyDescent="0.25">
      <c r="A581" s="26"/>
      <c r="B581" s="26" t="s">
        <v>96</v>
      </c>
      <c r="C581" s="306"/>
      <c r="D581" s="33" t="s">
        <v>3</v>
      </c>
      <c r="E581" s="34">
        <v>40527</v>
      </c>
      <c r="F581" s="34" t="s">
        <v>351</v>
      </c>
      <c r="G581" s="35" t="s">
        <v>129</v>
      </c>
      <c r="H581" s="35">
        <v>31300230</v>
      </c>
      <c r="I581" s="35">
        <v>585002</v>
      </c>
      <c r="J581" s="2" t="s">
        <v>1</v>
      </c>
      <c r="K581" s="27">
        <v>215000</v>
      </c>
      <c r="L581" s="4">
        <v>45000</v>
      </c>
      <c r="M581" s="4">
        <v>45000</v>
      </c>
      <c r="N581" s="4">
        <v>45000</v>
      </c>
      <c r="O581" s="4">
        <v>40000</v>
      </c>
      <c r="P581" s="283">
        <v>40000</v>
      </c>
      <c r="Q581" s="367" t="s">
        <v>11</v>
      </c>
      <c r="R581" s="283"/>
      <c r="S581" s="283"/>
      <c r="T581" s="283"/>
      <c r="U581" s="283"/>
      <c r="V581" s="283"/>
      <c r="W581" s="283"/>
      <c r="X581" s="283"/>
      <c r="Y581" s="283"/>
      <c r="Z581" s="497"/>
      <c r="AA581" s="536"/>
      <c r="AB581" s="5"/>
      <c r="AC581" s="135"/>
    </row>
    <row r="582" spans="1:46" s="2" customFormat="1" x14ac:dyDescent="0.25">
      <c r="A582" s="26"/>
      <c r="B582" s="26"/>
      <c r="C582" s="306"/>
      <c r="D582" s="33"/>
      <c r="E582" s="34" t="s">
        <v>12</v>
      </c>
      <c r="F582" s="34"/>
      <c r="G582" s="35" t="s">
        <v>130</v>
      </c>
      <c r="H582" s="35"/>
      <c r="I582" s="35"/>
      <c r="J582" s="17" t="s">
        <v>2</v>
      </c>
      <c r="K582" s="28">
        <v>21600</v>
      </c>
      <c r="L582" s="11">
        <v>6900</v>
      </c>
      <c r="M582" s="11">
        <v>5100</v>
      </c>
      <c r="N582" s="11">
        <f>2100+1200</f>
        <v>3300</v>
      </c>
      <c r="O582" s="11">
        <f>1200+600</f>
        <v>1800</v>
      </c>
      <c r="P582" s="142">
        <v>600</v>
      </c>
      <c r="Q582" s="368" t="s">
        <v>11</v>
      </c>
      <c r="R582" s="142"/>
      <c r="S582" s="142"/>
      <c r="T582" s="142"/>
      <c r="U582" s="142"/>
      <c r="V582" s="142"/>
      <c r="W582" s="142"/>
      <c r="X582" s="142"/>
      <c r="Y582" s="142"/>
      <c r="Z582" s="500"/>
      <c r="AA582" s="539"/>
      <c r="AB582" s="21"/>
      <c r="AC582" s="136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</row>
    <row r="583" spans="1:46" s="6" customFormat="1" ht="13.8" thickBot="1" x14ac:dyDescent="0.3">
      <c r="A583" s="120"/>
      <c r="B583" s="120"/>
      <c r="C583" s="307"/>
      <c r="D583" s="85"/>
      <c r="E583" s="86" t="s">
        <v>17</v>
      </c>
      <c r="F583" s="86" t="s">
        <v>410</v>
      </c>
      <c r="G583" s="125"/>
      <c r="H583" s="125"/>
      <c r="I583" s="125"/>
      <c r="J583" s="41" t="s">
        <v>6</v>
      </c>
      <c r="K583" s="42">
        <f>K582+K581</f>
        <v>236600</v>
      </c>
      <c r="L583" s="43">
        <f>L582+L581</f>
        <v>51900</v>
      </c>
      <c r="M583" s="43">
        <f t="shared" ref="M583:N583" si="407">M582+M581</f>
        <v>50100</v>
      </c>
      <c r="N583" s="43">
        <f t="shared" si="407"/>
        <v>48300</v>
      </c>
      <c r="O583" s="43">
        <f>O582+O581</f>
        <v>41800</v>
      </c>
      <c r="P583" s="43">
        <f>P582+P581</f>
        <v>40600</v>
      </c>
      <c r="Q583" s="41" t="s">
        <v>11</v>
      </c>
      <c r="R583" s="43"/>
      <c r="S583" s="43"/>
      <c r="T583" s="43"/>
      <c r="U583" s="43"/>
      <c r="V583" s="43"/>
      <c r="W583" s="43"/>
      <c r="X583" s="43"/>
      <c r="Y583" s="43"/>
      <c r="Z583" s="499"/>
      <c r="AA583" s="538"/>
      <c r="AB583" s="43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</row>
    <row r="584" spans="1:46" s="2" customFormat="1" x14ac:dyDescent="0.25">
      <c r="A584" s="26"/>
      <c r="B584" s="26" t="s">
        <v>96</v>
      </c>
      <c r="C584" s="306"/>
      <c r="D584" s="33" t="s">
        <v>3</v>
      </c>
      <c r="E584" s="34">
        <v>40527</v>
      </c>
      <c r="F584" s="34" t="s">
        <v>258</v>
      </c>
      <c r="G584" s="35" t="s">
        <v>370</v>
      </c>
      <c r="H584" s="35">
        <v>31300230</v>
      </c>
      <c r="I584" s="35">
        <v>585106</v>
      </c>
      <c r="J584" s="2" t="s">
        <v>1</v>
      </c>
      <c r="K584" s="27">
        <v>55950</v>
      </c>
      <c r="L584" s="4">
        <v>15950</v>
      </c>
      <c r="M584" s="4">
        <v>10000</v>
      </c>
      <c r="N584" s="4">
        <v>10000</v>
      </c>
      <c r="O584" s="4">
        <v>10000</v>
      </c>
      <c r="P584" s="4">
        <v>10000</v>
      </c>
      <c r="Q584" s="367" t="s">
        <v>11</v>
      </c>
      <c r="R584" s="283"/>
      <c r="S584" s="283"/>
      <c r="T584" s="283"/>
      <c r="Z584" s="490"/>
      <c r="AA584" s="60"/>
    </row>
    <row r="585" spans="1:46" s="2" customFormat="1" x14ac:dyDescent="0.25">
      <c r="A585" s="26"/>
      <c r="B585" s="26"/>
      <c r="C585" s="306"/>
      <c r="D585" s="33"/>
      <c r="E585" s="34" t="s">
        <v>12</v>
      </c>
      <c r="F585" s="34"/>
      <c r="G585" s="35" t="s">
        <v>430</v>
      </c>
      <c r="H585" s="35"/>
      <c r="I585" s="35"/>
      <c r="J585" s="17" t="s">
        <v>2</v>
      </c>
      <c r="K585" s="28">
        <v>5338</v>
      </c>
      <c r="L585" s="11">
        <v>1719</v>
      </c>
      <c r="M585" s="11">
        <v>1200</v>
      </c>
      <c r="N585" s="11">
        <f>500+300</f>
        <v>800</v>
      </c>
      <c r="O585" s="11">
        <f>300+150</f>
        <v>450</v>
      </c>
      <c r="P585" s="11">
        <v>150</v>
      </c>
      <c r="Q585" s="368" t="s">
        <v>11</v>
      </c>
      <c r="R585" s="142"/>
      <c r="S585" s="142"/>
      <c r="T585" s="142"/>
      <c r="U585" s="17"/>
      <c r="V585" s="17"/>
      <c r="W585" s="17"/>
      <c r="X585" s="17"/>
      <c r="Y585" s="17"/>
      <c r="Z585" s="491"/>
      <c r="AA585" s="532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</row>
    <row r="586" spans="1:46" s="6" customFormat="1" ht="13.8" thickBot="1" x14ac:dyDescent="0.3">
      <c r="A586" s="120"/>
      <c r="B586" s="120"/>
      <c r="C586" s="307"/>
      <c r="D586" s="85"/>
      <c r="E586" s="86" t="s">
        <v>17</v>
      </c>
      <c r="F586" s="86" t="s">
        <v>410</v>
      </c>
      <c r="G586" s="125" t="s">
        <v>530</v>
      </c>
      <c r="H586" s="141"/>
      <c r="I586" s="141"/>
      <c r="J586" s="41" t="s">
        <v>6</v>
      </c>
      <c r="K586" s="42">
        <f>K585+K584</f>
        <v>61288</v>
      </c>
      <c r="L586" s="43">
        <f>L585+L584</f>
        <v>17669</v>
      </c>
      <c r="M586" s="43">
        <f>M585+M584</f>
        <v>11200</v>
      </c>
      <c r="N586" s="43">
        <f t="shared" ref="N586" si="408">N585+N584</f>
        <v>10800</v>
      </c>
      <c r="O586" s="43">
        <f t="shared" ref="O586:P586" si="409">O585+O584</f>
        <v>10450</v>
      </c>
      <c r="P586" s="43">
        <f t="shared" si="409"/>
        <v>10150</v>
      </c>
      <c r="Q586" s="41" t="s">
        <v>11</v>
      </c>
      <c r="R586" s="43"/>
      <c r="S586" s="43"/>
      <c r="T586" s="43"/>
      <c r="U586" s="41"/>
      <c r="V586" s="41"/>
      <c r="W586" s="41"/>
      <c r="X586" s="41"/>
      <c r="Y586" s="41"/>
      <c r="Z586" s="492"/>
      <c r="AA586" s="533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</row>
    <row r="587" spans="1:46" s="2" customFormat="1" x14ac:dyDescent="0.25">
      <c r="A587" s="26" t="s">
        <v>95</v>
      </c>
      <c r="B587" s="26" t="s">
        <v>96</v>
      </c>
      <c r="C587" s="547"/>
      <c r="D587" s="33" t="s">
        <v>3</v>
      </c>
      <c r="E587" s="34">
        <v>40527</v>
      </c>
      <c r="F587" s="34" t="s">
        <v>269</v>
      </c>
      <c r="G587" s="318" t="s">
        <v>131</v>
      </c>
      <c r="H587" s="318">
        <v>31300220</v>
      </c>
      <c r="I587" s="318">
        <v>582001</v>
      </c>
      <c r="J587" s="2" t="s">
        <v>1</v>
      </c>
      <c r="K587" s="27">
        <v>303635</v>
      </c>
      <c r="L587" s="4">
        <v>23635</v>
      </c>
      <c r="M587" s="4">
        <v>20000</v>
      </c>
      <c r="N587" s="4">
        <v>20000</v>
      </c>
      <c r="O587" s="4">
        <v>20000</v>
      </c>
      <c r="P587" s="4">
        <v>20000</v>
      </c>
      <c r="Q587" s="4">
        <v>20000</v>
      </c>
      <c r="R587" s="4">
        <v>20000</v>
      </c>
      <c r="S587" s="4">
        <v>20000</v>
      </c>
      <c r="T587" s="4">
        <v>20000</v>
      </c>
      <c r="U587" s="4">
        <v>20000</v>
      </c>
      <c r="V587" s="4">
        <v>20000</v>
      </c>
      <c r="W587" s="4">
        <v>20000</v>
      </c>
      <c r="X587" s="4">
        <v>20000</v>
      </c>
      <c r="Y587" s="4">
        <v>20000</v>
      </c>
      <c r="Z587" s="504">
        <v>20000</v>
      </c>
      <c r="AA587" s="60" t="s">
        <v>11</v>
      </c>
    </row>
    <row r="588" spans="1:46" s="2" customFormat="1" x14ac:dyDescent="0.25">
      <c r="A588" s="400" t="s">
        <v>961</v>
      </c>
      <c r="B588" s="26"/>
      <c r="C588" s="306"/>
      <c r="D588" s="33"/>
      <c r="E588" s="34" t="s">
        <v>12</v>
      </c>
      <c r="F588" s="34"/>
      <c r="G588" s="35" t="s">
        <v>427</v>
      </c>
      <c r="H588" s="35"/>
      <c r="I588" s="35"/>
      <c r="J588" s="17" t="s">
        <v>2</v>
      </c>
      <c r="K588" s="28">
        <v>89445.4</v>
      </c>
      <c r="L588" s="11">
        <v>10672.7</v>
      </c>
      <c r="M588" s="11">
        <v>9800</v>
      </c>
      <c r="N588" s="11">
        <f>4700+4300</f>
        <v>9000</v>
      </c>
      <c r="O588" s="11">
        <f>4300+4000</f>
        <v>8300</v>
      </c>
      <c r="P588" s="11">
        <f>4000+3700</f>
        <v>7700</v>
      </c>
      <c r="Q588" s="11">
        <f>3700+3400</f>
        <v>7100</v>
      </c>
      <c r="R588" s="11">
        <f>3400+3100</f>
        <v>6500</v>
      </c>
      <c r="S588" s="11">
        <f>3100+2700</f>
        <v>5800</v>
      </c>
      <c r="T588" s="11">
        <f>2700+2300</f>
        <v>5000</v>
      </c>
      <c r="U588" s="11">
        <f>2300+1925</f>
        <v>4225</v>
      </c>
      <c r="V588" s="11">
        <f>1925+1550</f>
        <v>3475</v>
      </c>
      <c r="W588" s="11">
        <f>1550+1175</f>
        <v>2725</v>
      </c>
      <c r="X588" s="11">
        <f>1175+800</f>
        <v>1975</v>
      </c>
      <c r="Y588" s="11">
        <f>800+400</f>
        <v>1200</v>
      </c>
      <c r="Z588" s="505">
        <v>400</v>
      </c>
      <c r="AA588" s="532" t="s">
        <v>11</v>
      </c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</row>
    <row r="589" spans="1:46" s="6" customFormat="1" ht="13.8" thickBot="1" x14ac:dyDescent="0.3">
      <c r="A589" s="409" t="s">
        <v>1116</v>
      </c>
      <c r="B589" s="120"/>
      <c r="C589" s="307"/>
      <c r="D589" s="85"/>
      <c r="E589" s="86" t="s">
        <v>161</v>
      </c>
      <c r="F589" s="86" t="s">
        <v>408</v>
      </c>
      <c r="G589" s="145" t="s">
        <v>534</v>
      </c>
      <c r="H589" s="145"/>
      <c r="I589" s="145"/>
      <c r="J589" s="41" t="s">
        <v>6</v>
      </c>
      <c r="K589" s="42">
        <f>K588+K587</f>
        <v>393080.4</v>
      </c>
      <c r="L589" s="43">
        <f>L588+L587</f>
        <v>34307.699999999997</v>
      </c>
      <c r="M589" s="43">
        <f t="shared" ref="M589" si="410">M588+M587</f>
        <v>29800</v>
      </c>
      <c r="N589" s="43">
        <f t="shared" ref="N589:Z589" si="411">N588+N587</f>
        <v>29000</v>
      </c>
      <c r="O589" s="43">
        <f t="shared" si="411"/>
        <v>28300</v>
      </c>
      <c r="P589" s="43">
        <f t="shared" si="411"/>
        <v>27700</v>
      </c>
      <c r="Q589" s="43">
        <f t="shared" si="411"/>
        <v>27100</v>
      </c>
      <c r="R589" s="43">
        <f t="shared" si="411"/>
        <v>26500</v>
      </c>
      <c r="S589" s="43">
        <f t="shared" si="411"/>
        <v>25800</v>
      </c>
      <c r="T589" s="43">
        <f t="shared" si="411"/>
        <v>25000</v>
      </c>
      <c r="U589" s="43">
        <f t="shared" si="411"/>
        <v>24225</v>
      </c>
      <c r="V589" s="43">
        <f t="shared" si="411"/>
        <v>23475</v>
      </c>
      <c r="W589" s="43">
        <f t="shared" si="411"/>
        <v>22725</v>
      </c>
      <c r="X589" s="43">
        <f t="shared" si="411"/>
        <v>21975</v>
      </c>
      <c r="Y589" s="43">
        <f t="shared" si="411"/>
        <v>21200</v>
      </c>
      <c r="Z589" s="499">
        <f t="shared" si="411"/>
        <v>20400</v>
      </c>
      <c r="AA589" s="533" t="s">
        <v>11</v>
      </c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</row>
    <row r="590" spans="1:46" s="2" customFormat="1" x14ac:dyDescent="0.25">
      <c r="A590" s="26"/>
      <c r="B590" s="26" t="s">
        <v>96</v>
      </c>
      <c r="C590" s="306"/>
      <c r="D590" s="33" t="s">
        <v>3</v>
      </c>
      <c r="E590" s="34">
        <v>40527</v>
      </c>
      <c r="F590" s="34" t="s">
        <v>351</v>
      </c>
      <c r="G590" s="35" t="s">
        <v>378</v>
      </c>
      <c r="H590" s="35">
        <v>31422193</v>
      </c>
      <c r="I590" s="35">
        <v>584002</v>
      </c>
      <c r="J590" s="2" t="s">
        <v>1</v>
      </c>
      <c r="K590" s="27">
        <v>39000</v>
      </c>
      <c r="L590" s="4">
        <v>9000</v>
      </c>
      <c r="M590" s="4">
        <v>10000</v>
      </c>
      <c r="N590" s="4">
        <v>10000</v>
      </c>
      <c r="O590" s="4">
        <v>10000</v>
      </c>
      <c r="P590" s="367" t="s">
        <v>11</v>
      </c>
      <c r="Q590" s="283"/>
      <c r="R590" s="283"/>
      <c r="S590" s="283"/>
      <c r="T590" s="283"/>
      <c r="Z590" s="490"/>
      <c r="AA590" s="60"/>
    </row>
    <row r="591" spans="1:46" s="2" customFormat="1" x14ac:dyDescent="0.25">
      <c r="A591" s="26"/>
      <c r="B591" s="26"/>
      <c r="C591" s="306"/>
      <c r="D591" s="33"/>
      <c r="E591" s="34" t="s">
        <v>12</v>
      </c>
      <c r="F591" s="34"/>
      <c r="G591" s="35" t="s">
        <v>134</v>
      </c>
      <c r="H591" s="35"/>
      <c r="I591" s="35"/>
      <c r="J591" s="17" t="s">
        <v>2</v>
      </c>
      <c r="K591" s="28">
        <v>3560</v>
      </c>
      <c r="L591" s="11">
        <v>1280</v>
      </c>
      <c r="M591" s="11">
        <v>900</v>
      </c>
      <c r="N591" s="11">
        <f>350+150</f>
        <v>500</v>
      </c>
      <c r="O591" s="11">
        <v>150</v>
      </c>
      <c r="P591" s="368" t="s">
        <v>11</v>
      </c>
      <c r="Q591" s="142"/>
      <c r="R591" s="142"/>
      <c r="S591" s="142"/>
      <c r="T591" s="142"/>
      <c r="U591" s="17"/>
      <c r="V591" s="17"/>
      <c r="W591" s="17"/>
      <c r="X591" s="17"/>
      <c r="Y591" s="17"/>
      <c r="Z591" s="491"/>
      <c r="AA591" s="532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</row>
    <row r="592" spans="1:46" s="6" customFormat="1" ht="13.8" thickBot="1" x14ac:dyDescent="0.3">
      <c r="A592" s="120"/>
      <c r="B592" s="120"/>
      <c r="C592" s="307"/>
      <c r="D592" s="85"/>
      <c r="E592" s="86" t="s">
        <v>40</v>
      </c>
      <c r="F592" s="86" t="s">
        <v>410</v>
      </c>
      <c r="G592" s="125"/>
      <c r="H592" s="125"/>
      <c r="I592" s="125"/>
      <c r="J592" s="41" t="s">
        <v>6</v>
      </c>
      <c r="K592" s="42">
        <f>K591+K590</f>
        <v>42560</v>
      </c>
      <c r="L592" s="43">
        <f>L591+L590</f>
        <v>10280</v>
      </c>
      <c r="M592" s="43">
        <f>M591+M590</f>
        <v>10900</v>
      </c>
      <c r="N592" s="43">
        <f t="shared" ref="N592:O592" si="412">N591+N590</f>
        <v>10500</v>
      </c>
      <c r="O592" s="43">
        <f t="shared" si="412"/>
        <v>10150</v>
      </c>
      <c r="P592" s="41" t="s">
        <v>11</v>
      </c>
      <c r="Q592" s="43"/>
      <c r="R592" s="43"/>
      <c r="S592" s="43"/>
      <c r="T592" s="43"/>
      <c r="U592" s="41"/>
      <c r="V592" s="41"/>
      <c r="W592" s="41"/>
      <c r="X592" s="41"/>
      <c r="Y592" s="41"/>
      <c r="Z592" s="492"/>
      <c r="AA592" s="533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</row>
    <row r="593" spans="1:46" s="2" customFormat="1" x14ac:dyDescent="0.25">
      <c r="A593" s="26" t="s">
        <v>99</v>
      </c>
      <c r="B593" s="26" t="s">
        <v>96</v>
      </c>
      <c r="C593" s="306"/>
      <c r="D593" s="33" t="s">
        <v>3</v>
      </c>
      <c r="E593" s="34">
        <v>40527</v>
      </c>
      <c r="F593" s="34" t="s">
        <v>341</v>
      </c>
      <c r="G593" s="35" t="s">
        <v>206</v>
      </c>
      <c r="H593" s="35">
        <v>31422193</v>
      </c>
      <c r="I593" s="35">
        <v>586200</v>
      </c>
      <c r="J593" s="2" t="s">
        <v>1</v>
      </c>
      <c r="K593" s="27">
        <v>330000</v>
      </c>
      <c r="L593" s="4">
        <v>40000</v>
      </c>
      <c r="M593" s="4">
        <v>40000</v>
      </c>
      <c r="N593" s="4">
        <v>40000</v>
      </c>
      <c r="O593" s="4">
        <v>35000</v>
      </c>
      <c r="P593" s="4">
        <v>35000</v>
      </c>
      <c r="Q593" s="4">
        <v>35000</v>
      </c>
      <c r="R593" s="4">
        <v>35000</v>
      </c>
      <c r="S593" s="4">
        <v>35000</v>
      </c>
      <c r="T593" s="4">
        <v>35000</v>
      </c>
      <c r="U593" s="2" t="s">
        <v>11</v>
      </c>
      <c r="Z593" s="490"/>
      <c r="AA593" s="60"/>
    </row>
    <row r="594" spans="1:46" s="2" customFormat="1" x14ac:dyDescent="0.25">
      <c r="A594" s="400" t="s">
        <v>962</v>
      </c>
      <c r="B594" s="26"/>
      <c r="C594" s="306"/>
      <c r="D594" s="33"/>
      <c r="E594" s="34" t="s">
        <v>12</v>
      </c>
      <c r="F594" s="34"/>
      <c r="G594" s="35" t="s">
        <v>342</v>
      </c>
      <c r="H594" s="35"/>
      <c r="I594" s="35"/>
      <c r="J594" s="17" t="s">
        <v>2</v>
      </c>
      <c r="K594" s="28">
        <v>56500</v>
      </c>
      <c r="L594" s="11">
        <v>11000</v>
      </c>
      <c r="M594" s="11">
        <v>9400</v>
      </c>
      <c r="N594" s="11">
        <f>4300+3500</f>
        <v>7800</v>
      </c>
      <c r="O594" s="11">
        <f>3500+2975</f>
        <v>6475</v>
      </c>
      <c r="P594" s="11">
        <f>2975+2450</f>
        <v>5425</v>
      </c>
      <c r="Q594" s="11">
        <f>2450+1925</f>
        <v>4375</v>
      </c>
      <c r="R594" s="11">
        <f>1925+1400</f>
        <v>3325</v>
      </c>
      <c r="S594" s="11">
        <f>1400+700</f>
        <v>2100</v>
      </c>
      <c r="T594" s="11">
        <v>700</v>
      </c>
      <c r="U594" s="17" t="s">
        <v>11</v>
      </c>
      <c r="V594" s="17"/>
      <c r="W594" s="17"/>
      <c r="X594" s="17"/>
      <c r="Y594" s="17"/>
      <c r="Z594" s="491"/>
      <c r="AA594" s="532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</row>
    <row r="595" spans="1:46" s="6" customFormat="1" ht="13.8" thickBot="1" x14ac:dyDescent="0.3">
      <c r="A595" s="120"/>
      <c r="B595" s="120"/>
      <c r="C595" s="307"/>
      <c r="D595" s="85"/>
      <c r="E595" s="86" t="s">
        <v>15</v>
      </c>
      <c r="F595" s="86" t="s">
        <v>410</v>
      </c>
      <c r="G595" s="125"/>
      <c r="H595" s="125"/>
      <c r="I595" s="125"/>
      <c r="J595" s="41" t="s">
        <v>6</v>
      </c>
      <c r="K595" s="42">
        <f>K594+K593</f>
        <v>386500</v>
      </c>
      <c r="L595" s="43">
        <f>L594+L593</f>
        <v>51000</v>
      </c>
      <c r="M595" s="43">
        <f t="shared" ref="M595:O595" si="413">M594+M593</f>
        <v>49400</v>
      </c>
      <c r="N595" s="43">
        <f t="shared" si="413"/>
        <v>47800</v>
      </c>
      <c r="O595" s="43">
        <f t="shared" si="413"/>
        <v>41475</v>
      </c>
      <c r="P595" s="43">
        <f t="shared" ref="P595" si="414">P594+P593</f>
        <v>40425</v>
      </c>
      <c r="Q595" s="43">
        <f t="shared" ref="Q595" si="415">Q594+Q593</f>
        <v>39375</v>
      </c>
      <c r="R595" s="43">
        <f t="shared" ref="R595" si="416">R594+R593</f>
        <v>38325</v>
      </c>
      <c r="S595" s="43">
        <f t="shared" ref="S595" si="417">S594+S593</f>
        <v>37100</v>
      </c>
      <c r="T595" s="43">
        <f t="shared" ref="T595" si="418">T594+T593</f>
        <v>35700</v>
      </c>
      <c r="U595" s="41" t="s">
        <v>11</v>
      </c>
      <c r="V595" s="41"/>
      <c r="W595" s="41"/>
      <c r="X595" s="41"/>
      <c r="Y595" s="41"/>
      <c r="Z595" s="492"/>
      <c r="AA595" s="533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</row>
    <row r="596" spans="1:46" s="2" customFormat="1" x14ac:dyDescent="0.25">
      <c r="A596" s="26"/>
      <c r="B596" s="26" t="s">
        <v>96</v>
      </c>
      <c r="C596" s="306"/>
      <c r="D596" s="33" t="s">
        <v>3</v>
      </c>
      <c r="E596" s="34">
        <v>40527</v>
      </c>
      <c r="F596" s="34" t="s">
        <v>301</v>
      </c>
      <c r="G596" s="35" t="s">
        <v>208</v>
      </c>
      <c r="H596" s="35">
        <v>31422220</v>
      </c>
      <c r="I596" s="35">
        <v>586204</v>
      </c>
      <c r="J596" s="2" t="s">
        <v>1</v>
      </c>
      <c r="K596" s="27">
        <v>200000</v>
      </c>
      <c r="L596" s="4">
        <v>40000</v>
      </c>
      <c r="M596" s="4">
        <v>40000</v>
      </c>
      <c r="N596" s="4">
        <v>40000</v>
      </c>
      <c r="O596" s="4">
        <v>40000</v>
      </c>
      <c r="P596" s="4">
        <v>40000</v>
      </c>
      <c r="Q596" s="367" t="s">
        <v>11</v>
      </c>
      <c r="R596" s="283"/>
      <c r="S596" s="367"/>
      <c r="T596" s="283"/>
      <c r="U596" s="283"/>
      <c r="Z596" s="490"/>
      <c r="AA596" s="60"/>
    </row>
    <row r="597" spans="1:46" s="2" customFormat="1" x14ac:dyDescent="0.25">
      <c r="A597" s="26"/>
      <c r="B597" s="26"/>
      <c r="C597" s="306"/>
      <c r="D597" s="33"/>
      <c r="E597" s="34" t="s">
        <v>12</v>
      </c>
      <c r="F597" s="34"/>
      <c r="G597" s="35" t="s">
        <v>181</v>
      </c>
      <c r="H597" s="35"/>
      <c r="I597" s="35"/>
      <c r="J597" s="17" t="s">
        <v>2</v>
      </c>
      <c r="K597" s="28">
        <v>20400</v>
      </c>
      <c r="L597" s="11">
        <v>6400</v>
      </c>
      <c r="M597" s="11">
        <v>4800</v>
      </c>
      <c r="N597" s="11">
        <f>2000+1200</f>
        <v>3200</v>
      </c>
      <c r="O597" s="11">
        <f>1200+600</f>
        <v>1800</v>
      </c>
      <c r="P597" s="11">
        <v>600</v>
      </c>
      <c r="Q597" s="368" t="s">
        <v>11</v>
      </c>
      <c r="R597" s="11"/>
      <c r="S597" s="368"/>
      <c r="T597" s="142"/>
      <c r="U597" s="142"/>
      <c r="V597" s="17"/>
      <c r="W597" s="17"/>
      <c r="X597" s="17"/>
      <c r="Y597" s="17"/>
      <c r="Z597" s="491"/>
      <c r="AA597" s="532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</row>
    <row r="598" spans="1:46" s="6" customFormat="1" ht="13.8" thickBot="1" x14ac:dyDescent="0.3">
      <c r="A598" s="120"/>
      <c r="B598" s="120"/>
      <c r="C598" s="307"/>
      <c r="D598" s="85"/>
      <c r="E598" s="86" t="s">
        <v>15</v>
      </c>
      <c r="F598" s="86" t="s">
        <v>410</v>
      </c>
      <c r="G598" s="125"/>
      <c r="H598" s="125"/>
      <c r="I598" s="125"/>
      <c r="J598" s="41" t="s">
        <v>6</v>
      </c>
      <c r="K598" s="42">
        <f>K597+K596</f>
        <v>220400</v>
      </c>
      <c r="L598" s="43">
        <f>L597+L596</f>
        <v>46400</v>
      </c>
      <c r="M598" s="43">
        <f>M597+M596</f>
        <v>44800</v>
      </c>
      <c r="N598" s="43">
        <f t="shared" ref="N598" si="419">N597+N596</f>
        <v>43200</v>
      </c>
      <c r="O598" s="43">
        <f t="shared" ref="O598" si="420">O597+O596</f>
        <v>41800</v>
      </c>
      <c r="P598" s="43">
        <f t="shared" ref="P598" si="421">P597+P596</f>
        <v>40600</v>
      </c>
      <c r="Q598" s="41" t="s">
        <v>11</v>
      </c>
      <c r="R598" s="43"/>
      <c r="S598" s="41"/>
      <c r="T598" s="43"/>
      <c r="U598" s="43"/>
      <c r="V598" s="41"/>
      <c r="W598" s="41"/>
      <c r="X598" s="41"/>
      <c r="Y598" s="41"/>
      <c r="Z598" s="492"/>
      <c r="AA598" s="533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</row>
    <row r="599" spans="1:46" s="2" customFormat="1" x14ac:dyDescent="0.25">
      <c r="A599" s="26"/>
      <c r="B599" s="26" t="s">
        <v>96</v>
      </c>
      <c r="C599" s="306"/>
      <c r="D599" s="33" t="s">
        <v>3</v>
      </c>
      <c r="E599" s="34">
        <v>40527</v>
      </c>
      <c r="F599" s="34" t="s">
        <v>301</v>
      </c>
      <c r="G599" s="35" t="s">
        <v>208</v>
      </c>
      <c r="H599" s="35">
        <v>31422220</v>
      </c>
      <c r="I599" s="35">
        <v>586204</v>
      </c>
      <c r="J599" s="2" t="s">
        <v>1</v>
      </c>
      <c r="K599" s="27">
        <v>300000</v>
      </c>
      <c r="L599" s="4">
        <v>60000</v>
      </c>
      <c r="M599" s="4">
        <v>60000</v>
      </c>
      <c r="N599" s="4">
        <v>60000</v>
      </c>
      <c r="O599" s="4">
        <v>60000</v>
      </c>
      <c r="P599" s="4">
        <v>60000</v>
      </c>
      <c r="Q599" s="367" t="s">
        <v>11</v>
      </c>
      <c r="R599" s="283"/>
      <c r="S599" s="367"/>
      <c r="T599" s="283"/>
      <c r="U599" s="283"/>
      <c r="Z599" s="490"/>
      <c r="AA599" s="60"/>
    </row>
    <row r="600" spans="1:46" s="2" customFormat="1" x14ac:dyDescent="0.25">
      <c r="A600" s="26"/>
      <c r="B600" s="26"/>
      <c r="C600" s="306"/>
      <c r="D600" s="33"/>
      <c r="E600" s="34" t="s">
        <v>12</v>
      </c>
      <c r="F600" s="34"/>
      <c r="G600" s="35" t="s">
        <v>182</v>
      </c>
      <c r="H600" s="35"/>
      <c r="I600" s="35"/>
      <c r="J600" s="17" t="s">
        <v>2</v>
      </c>
      <c r="K600" s="28">
        <v>30600</v>
      </c>
      <c r="L600" s="11">
        <v>9600</v>
      </c>
      <c r="M600" s="11">
        <v>7200</v>
      </c>
      <c r="N600" s="11">
        <f>3000+1800</f>
        <v>4800</v>
      </c>
      <c r="O600" s="11">
        <f>1800+900</f>
        <v>2700</v>
      </c>
      <c r="P600" s="11">
        <v>900</v>
      </c>
      <c r="Q600" s="368" t="s">
        <v>11</v>
      </c>
      <c r="R600" s="11"/>
      <c r="S600" s="368"/>
      <c r="T600" s="142"/>
      <c r="U600" s="142"/>
      <c r="V600" s="17"/>
      <c r="W600" s="17"/>
      <c r="X600" s="17"/>
      <c r="Y600" s="17"/>
      <c r="Z600" s="491"/>
      <c r="AA600" s="532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</row>
    <row r="601" spans="1:46" s="6" customFormat="1" ht="13.8" thickBot="1" x14ac:dyDescent="0.3">
      <c r="A601" s="120"/>
      <c r="B601" s="120"/>
      <c r="C601" s="307"/>
      <c r="D601" s="85"/>
      <c r="E601" s="86" t="s">
        <v>15</v>
      </c>
      <c r="F601" s="86" t="s">
        <v>410</v>
      </c>
      <c r="G601" s="125"/>
      <c r="H601" s="125"/>
      <c r="I601" s="125"/>
      <c r="J601" s="41" t="s">
        <v>6</v>
      </c>
      <c r="K601" s="42">
        <f>K600+K599</f>
        <v>330600</v>
      </c>
      <c r="L601" s="43">
        <f>L600+L599</f>
        <v>69600</v>
      </c>
      <c r="M601" s="43">
        <f>M600+M599</f>
        <v>67200</v>
      </c>
      <c r="N601" s="43">
        <f t="shared" ref="N601" si="422">N600+N599</f>
        <v>64800</v>
      </c>
      <c r="O601" s="43">
        <f t="shared" ref="O601" si="423">O600+O599</f>
        <v>62700</v>
      </c>
      <c r="P601" s="43">
        <f t="shared" ref="P601" si="424">P600+P599</f>
        <v>60900</v>
      </c>
      <c r="Q601" s="41" t="s">
        <v>11</v>
      </c>
      <c r="R601" s="43"/>
      <c r="S601" s="41"/>
      <c r="T601" s="43"/>
      <c r="U601" s="43"/>
      <c r="V601" s="41"/>
      <c r="W601" s="41"/>
      <c r="X601" s="41"/>
      <c r="Y601" s="41"/>
      <c r="Z601" s="492"/>
      <c r="AA601" s="533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</row>
    <row r="602" spans="1:46" s="2" customFormat="1" x14ac:dyDescent="0.25">
      <c r="A602" s="26"/>
      <c r="B602" s="26" t="s">
        <v>96</v>
      </c>
      <c r="C602" s="306"/>
      <c r="D602" s="33" t="s">
        <v>3</v>
      </c>
      <c r="E602" s="34">
        <v>40527</v>
      </c>
      <c r="F602" s="34" t="s">
        <v>301</v>
      </c>
      <c r="G602" s="35" t="s">
        <v>209</v>
      </c>
      <c r="H602" s="35">
        <v>31422230</v>
      </c>
      <c r="I602" s="35">
        <v>586204</v>
      </c>
      <c r="J602" s="2" t="s">
        <v>1</v>
      </c>
      <c r="K602" s="27">
        <v>500000</v>
      </c>
      <c r="L602" s="4">
        <v>100000</v>
      </c>
      <c r="M602" s="4">
        <v>100000</v>
      </c>
      <c r="N602" s="4">
        <v>100000</v>
      </c>
      <c r="O602" s="4">
        <v>100000</v>
      </c>
      <c r="P602" s="4">
        <v>100000</v>
      </c>
      <c r="Q602" s="367" t="s">
        <v>11</v>
      </c>
      <c r="R602" s="283"/>
      <c r="S602" s="367"/>
      <c r="T602" s="283"/>
      <c r="U602" s="283"/>
      <c r="Z602" s="490"/>
      <c r="AA602" s="60"/>
    </row>
    <row r="603" spans="1:46" s="2" customFormat="1" x14ac:dyDescent="0.25">
      <c r="A603" s="26"/>
      <c r="B603" s="26"/>
      <c r="C603" s="306"/>
      <c r="D603" s="33"/>
      <c r="E603" s="34" t="s">
        <v>12</v>
      </c>
      <c r="F603" s="34"/>
      <c r="G603" s="35" t="s">
        <v>136</v>
      </c>
      <c r="H603" s="35"/>
      <c r="I603" s="35"/>
      <c r="J603" s="17" t="s">
        <v>2</v>
      </c>
      <c r="K603" s="28">
        <v>51000</v>
      </c>
      <c r="L603" s="11">
        <v>16000</v>
      </c>
      <c r="M603" s="11">
        <v>12000</v>
      </c>
      <c r="N603" s="11">
        <f>5000+3000</f>
        <v>8000</v>
      </c>
      <c r="O603" s="11">
        <f>3000+1500</f>
        <v>4500</v>
      </c>
      <c r="P603" s="11">
        <v>1500</v>
      </c>
      <c r="Q603" s="368" t="s">
        <v>11</v>
      </c>
      <c r="R603" s="11"/>
      <c r="S603" s="368"/>
      <c r="T603" s="142"/>
      <c r="U603" s="142"/>
      <c r="V603" s="17"/>
      <c r="W603" s="17"/>
      <c r="X603" s="17"/>
      <c r="Y603" s="17"/>
      <c r="Z603" s="491"/>
      <c r="AA603" s="532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</row>
    <row r="604" spans="1:46" s="6" customFormat="1" ht="13.8" thickBot="1" x14ac:dyDescent="0.3">
      <c r="A604" s="120"/>
      <c r="B604" s="120"/>
      <c r="C604" s="307"/>
      <c r="D604" s="85"/>
      <c r="E604" s="86" t="s">
        <v>15</v>
      </c>
      <c r="F604" s="86" t="s">
        <v>410</v>
      </c>
      <c r="G604" s="125"/>
      <c r="H604" s="125"/>
      <c r="I604" s="125"/>
      <c r="J604" s="41" t="s">
        <v>6</v>
      </c>
      <c r="K604" s="42">
        <f>K603+K602</f>
        <v>551000</v>
      </c>
      <c r="L604" s="43">
        <f>L603+L602</f>
        <v>116000</v>
      </c>
      <c r="M604" s="43">
        <f>M603+M602</f>
        <v>112000</v>
      </c>
      <c r="N604" s="43">
        <f t="shared" ref="N604" si="425">N603+N602</f>
        <v>108000</v>
      </c>
      <c r="O604" s="43">
        <f t="shared" ref="O604" si="426">O603+O602</f>
        <v>104500</v>
      </c>
      <c r="P604" s="43">
        <f t="shared" ref="P604" si="427">P603+P602</f>
        <v>101500</v>
      </c>
      <c r="Q604" s="41" t="s">
        <v>11</v>
      </c>
      <c r="R604" s="43"/>
      <c r="S604" s="41"/>
      <c r="T604" s="43"/>
      <c r="U604" s="43"/>
      <c r="V604" s="41"/>
      <c r="W604" s="41"/>
      <c r="X604" s="41"/>
      <c r="Y604" s="41"/>
      <c r="Z604" s="492"/>
      <c r="AA604" s="533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</row>
    <row r="605" spans="1:46" s="2" customFormat="1" x14ac:dyDescent="0.25">
      <c r="A605" s="26"/>
      <c r="B605" s="26" t="s">
        <v>96</v>
      </c>
      <c r="C605" s="306"/>
      <c r="D605" s="33" t="s">
        <v>3</v>
      </c>
      <c r="E605" s="34">
        <v>40527</v>
      </c>
      <c r="F605" s="34" t="s">
        <v>345</v>
      </c>
      <c r="G605" s="35" t="s">
        <v>376</v>
      </c>
      <c r="H605" s="35">
        <v>31422220</v>
      </c>
      <c r="I605" s="35">
        <v>586209</v>
      </c>
      <c r="J605" s="2" t="s">
        <v>1</v>
      </c>
      <c r="K605" s="27">
        <v>81000</v>
      </c>
      <c r="L605" s="4">
        <v>21000</v>
      </c>
      <c r="M605" s="4">
        <v>20000</v>
      </c>
      <c r="N605" s="4">
        <v>20000</v>
      </c>
      <c r="O605" s="4">
        <v>20000</v>
      </c>
      <c r="P605" s="2" t="s">
        <v>11</v>
      </c>
      <c r="Q605" s="367"/>
      <c r="R605" s="283"/>
      <c r="S605" s="367"/>
      <c r="T605" s="283"/>
      <c r="U605" s="283"/>
      <c r="Z605" s="490"/>
      <c r="AA605" s="60"/>
    </row>
    <row r="606" spans="1:46" s="2" customFormat="1" x14ac:dyDescent="0.25">
      <c r="A606" s="26"/>
      <c r="B606" s="26"/>
      <c r="C606" s="306"/>
      <c r="D606" s="33"/>
      <c r="E606" s="34" t="s">
        <v>12</v>
      </c>
      <c r="F606" s="34"/>
      <c r="G606" s="35" t="s">
        <v>137</v>
      </c>
      <c r="H606" s="35"/>
      <c r="I606" s="35"/>
      <c r="J606" s="17" t="s">
        <v>2</v>
      </c>
      <c r="K606" s="28">
        <v>7240</v>
      </c>
      <c r="L606" s="11">
        <v>2620</v>
      </c>
      <c r="M606" s="11">
        <v>1800</v>
      </c>
      <c r="N606" s="11">
        <f>700+300</f>
        <v>1000</v>
      </c>
      <c r="O606" s="11">
        <v>300</v>
      </c>
      <c r="P606" s="17" t="s">
        <v>11</v>
      </c>
      <c r="Q606" s="368"/>
      <c r="R606" s="11"/>
      <c r="S606" s="368"/>
      <c r="T606" s="142"/>
      <c r="U606" s="142"/>
      <c r="V606" s="17"/>
      <c r="W606" s="17"/>
      <c r="X606" s="17"/>
      <c r="Y606" s="17"/>
      <c r="Z606" s="491"/>
      <c r="AA606" s="532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</row>
    <row r="607" spans="1:46" s="6" customFormat="1" ht="13.8" thickBot="1" x14ac:dyDescent="0.3">
      <c r="A607" s="120"/>
      <c r="B607" s="120"/>
      <c r="C607" s="307"/>
      <c r="D607" s="85"/>
      <c r="E607" s="86" t="s">
        <v>15</v>
      </c>
      <c r="F607" s="86" t="s">
        <v>410</v>
      </c>
      <c r="G607" s="125"/>
      <c r="H607" s="125"/>
      <c r="I607" s="125"/>
      <c r="J607" s="41" t="s">
        <v>6</v>
      </c>
      <c r="K607" s="42">
        <f>K606+K605</f>
        <v>88240</v>
      </c>
      <c r="L607" s="43">
        <f>L606+L605</f>
        <v>23620</v>
      </c>
      <c r="M607" s="43">
        <f>M606+M605</f>
        <v>21800</v>
      </c>
      <c r="N607" s="43">
        <f t="shared" ref="N607" si="428">N606+N605</f>
        <v>21000</v>
      </c>
      <c r="O607" s="43">
        <f t="shared" ref="O607" si="429">O606+O605</f>
        <v>20300</v>
      </c>
      <c r="P607" s="41" t="s">
        <v>11</v>
      </c>
      <c r="Q607" s="41"/>
      <c r="R607" s="43"/>
      <c r="S607" s="41"/>
      <c r="T607" s="43"/>
      <c r="U607" s="43"/>
      <c r="V607" s="41"/>
      <c r="W607" s="41"/>
      <c r="X607" s="41"/>
      <c r="Y607" s="41"/>
      <c r="Z607" s="492"/>
      <c r="AA607" s="533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</row>
    <row r="608" spans="1:46" s="2" customFormat="1" x14ac:dyDescent="0.25">
      <c r="A608" s="26"/>
      <c r="B608" s="26" t="s">
        <v>96</v>
      </c>
      <c r="C608" s="306"/>
      <c r="D608" s="33" t="s">
        <v>3</v>
      </c>
      <c r="E608" s="34">
        <v>40527</v>
      </c>
      <c r="F608" s="34" t="s">
        <v>266</v>
      </c>
      <c r="G608" s="35" t="s">
        <v>393</v>
      </c>
      <c r="H608" s="35">
        <v>31422220</v>
      </c>
      <c r="I608" s="35">
        <v>584017</v>
      </c>
      <c r="J608" s="2" t="s">
        <v>1</v>
      </c>
      <c r="K608" s="27">
        <v>50000</v>
      </c>
      <c r="L608" s="4">
        <v>15000</v>
      </c>
      <c r="M608" s="4">
        <v>15000</v>
      </c>
      <c r="N608" s="4">
        <v>10000</v>
      </c>
      <c r="O608" s="4">
        <v>10000</v>
      </c>
      <c r="P608" s="2" t="s">
        <v>11</v>
      </c>
      <c r="Q608" s="4"/>
      <c r="R608" s="4"/>
      <c r="S608" s="4"/>
      <c r="T608" s="4"/>
      <c r="U608" s="4"/>
      <c r="V608" s="4"/>
      <c r="W608" s="4"/>
      <c r="X608" s="4"/>
      <c r="Y608" s="4"/>
      <c r="Z608" s="504"/>
      <c r="AA608" s="543"/>
      <c r="AB608" s="4"/>
    </row>
    <row r="609" spans="1:46" s="2" customFormat="1" x14ac:dyDescent="0.25">
      <c r="A609" s="26"/>
      <c r="B609" s="26"/>
      <c r="C609" s="306"/>
      <c r="D609" s="33"/>
      <c r="E609" s="34" t="s">
        <v>12</v>
      </c>
      <c r="F609" s="34"/>
      <c r="G609" s="35" t="s">
        <v>237</v>
      </c>
      <c r="H609" s="35"/>
      <c r="I609" s="35"/>
      <c r="J609" s="17" t="s">
        <v>2</v>
      </c>
      <c r="K609" s="28">
        <v>4200</v>
      </c>
      <c r="L609" s="11">
        <v>1600</v>
      </c>
      <c r="M609" s="11">
        <v>1000</v>
      </c>
      <c r="N609" s="11">
        <f>350+150</f>
        <v>500</v>
      </c>
      <c r="O609" s="11">
        <v>150</v>
      </c>
      <c r="P609" s="17" t="s">
        <v>11</v>
      </c>
      <c r="Q609" s="11"/>
      <c r="R609" s="11"/>
      <c r="S609" s="11"/>
      <c r="T609" s="11"/>
      <c r="U609" s="11"/>
      <c r="V609" s="11"/>
      <c r="W609" s="11"/>
      <c r="X609" s="11"/>
      <c r="Y609" s="11"/>
      <c r="Z609" s="505"/>
      <c r="AA609" s="544"/>
      <c r="AB609" s="11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</row>
    <row r="610" spans="1:46" s="6" customFormat="1" ht="13.8" thickBot="1" x14ac:dyDescent="0.3">
      <c r="A610" s="120"/>
      <c r="B610" s="120"/>
      <c r="C610" s="307"/>
      <c r="D610" s="85"/>
      <c r="E610" s="86" t="s">
        <v>15</v>
      </c>
      <c r="F610" s="86" t="s">
        <v>410</v>
      </c>
      <c r="G610" s="125"/>
      <c r="H610" s="125"/>
      <c r="I610" s="125"/>
      <c r="J610" s="41" t="s">
        <v>6</v>
      </c>
      <c r="K610" s="42">
        <f>K609+K608</f>
        <v>54200</v>
      </c>
      <c r="L610" s="43">
        <f>L609+L608</f>
        <v>16600</v>
      </c>
      <c r="M610" s="43">
        <f t="shared" ref="M610:O610" si="430">M609+M608</f>
        <v>16000</v>
      </c>
      <c r="N610" s="43">
        <f t="shared" si="430"/>
        <v>10500</v>
      </c>
      <c r="O610" s="43">
        <f t="shared" si="430"/>
        <v>10150</v>
      </c>
      <c r="P610" s="41" t="s">
        <v>11</v>
      </c>
      <c r="Q610" s="43"/>
      <c r="R610" s="43"/>
      <c r="S610" s="43"/>
      <c r="T610" s="43"/>
      <c r="U610" s="43"/>
      <c r="V610" s="43"/>
      <c r="W610" s="43"/>
      <c r="X610" s="43"/>
      <c r="Y610" s="43"/>
      <c r="Z610" s="499"/>
      <c r="AA610" s="538"/>
      <c r="AB610" s="43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</row>
    <row r="611" spans="1:46" s="2" customFormat="1" x14ac:dyDescent="0.25">
      <c r="A611" s="26"/>
      <c r="B611" s="26" t="s">
        <v>96</v>
      </c>
      <c r="C611" s="306"/>
      <c r="D611" s="33" t="s">
        <v>3</v>
      </c>
      <c r="E611" s="34">
        <v>40527</v>
      </c>
      <c r="F611" s="34" t="s">
        <v>258</v>
      </c>
      <c r="G611" s="35" t="s">
        <v>529</v>
      </c>
      <c r="H611" s="35">
        <v>31422230</v>
      </c>
      <c r="I611" s="35">
        <v>587007</v>
      </c>
      <c r="J611" s="2" t="s">
        <v>1</v>
      </c>
      <c r="K611" s="27">
        <v>350000</v>
      </c>
      <c r="L611" s="4">
        <v>70000</v>
      </c>
      <c r="M611" s="4">
        <v>70000</v>
      </c>
      <c r="N611" s="4">
        <v>70000</v>
      </c>
      <c r="O611" s="4">
        <v>70000</v>
      </c>
      <c r="P611" s="4">
        <v>70000</v>
      </c>
      <c r="Q611" s="367" t="s">
        <v>11</v>
      </c>
      <c r="R611" s="283"/>
      <c r="S611" s="283"/>
      <c r="T611" s="283"/>
      <c r="Z611" s="490"/>
      <c r="AA611" s="60"/>
    </row>
    <row r="612" spans="1:46" s="2" customFormat="1" x14ac:dyDescent="0.25">
      <c r="A612" s="26"/>
      <c r="B612" s="26"/>
      <c r="C612" s="306"/>
      <c r="D612" s="33"/>
      <c r="E612" s="34" t="s">
        <v>12</v>
      </c>
      <c r="F612" s="34"/>
      <c r="G612" s="35" t="s">
        <v>429</v>
      </c>
      <c r="H612" s="35"/>
      <c r="I612" s="35"/>
      <c r="J612" s="17" t="s">
        <v>2</v>
      </c>
      <c r="K612" s="28">
        <v>35700</v>
      </c>
      <c r="L612" s="11">
        <v>11200</v>
      </c>
      <c r="M612" s="11">
        <v>8400</v>
      </c>
      <c r="N612" s="11">
        <f>3500+2100</f>
        <v>5600</v>
      </c>
      <c r="O612" s="11">
        <f>2100+1050</f>
        <v>3150</v>
      </c>
      <c r="P612" s="11">
        <v>1050</v>
      </c>
      <c r="Q612" s="368" t="s">
        <v>11</v>
      </c>
      <c r="R612" s="142"/>
      <c r="S612" s="142"/>
      <c r="T612" s="142"/>
      <c r="U612" s="17"/>
      <c r="V612" s="17"/>
      <c r="W612" s="17"/>
      <c r="X612" s="17"/>
      <c r="Y612" s="17"/>
      <c r="Z612" s="491"/>
      <c r="AA612" s="532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</row>
    <row r="613" spans="1:46" s="6" customFormat="1" ht="13.8" thickBot="1" x14ac:dyDescent="0.3">
      <c r="A613" s="120"/>
      <c r="B613" s="120"/>
      <c r="C613" s="307"/>
      <c r="D613" s="85"/>
      <c r="E613" s="86" t="s">
        <v>160</v>
      </c>
      <c r="F613" s="86" t="s">
        <v>410</v>
      </c>
      <c r="G613" s="125" t="s">
        <v>528</v>
      </c>
      <c r="H613" s="141"/>
      <c r="I613" s="141"/>
      <c r="J613" s="41" t="s">
        <v>6</v>
      </c>
      <c r="K613" s="42">
        <f>K612+K611</f>
        <v>385700</v>
      </c>
      <c r="L613" s="43">
        <f>L612+L611</f>
        <v>81200</v>
      </c>
      <c r="M613" s="43">
        <f t="shared" ref="M613:P613" si="431">M612+M611</f>
        <v>78400</v>
      </c>
      <c r="N613" s="43">
        <f t="shared" si="431"/>
        <v>75600</v>
      </c>
      <c r="O613" s="43">
        <f t="shared" si="431"/>
        <v>73150</v>
      </c>
      <c r="P613" s="43">
        <f t="shared" si="431"/>
        <v>71050</v>
      </c>
      <c r="Q613" s="41" t="s">
        <v>11</v>
      </c>
      <c r="R613" s="43"/>
      <c r="S613" s="43"/>
      <c r="T613" s="43"/>
      <c r="U613" s="41"/>
      <c r="V613" s="41"/>
      <c r="W613" s="41"/>
      <c r="X613" s="41"/>
      <c r="Y613" s="41"/>
      <c r="Z613" s="492"/>
      <c r="AA613" s="533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</row>
    <row r="614" spans="1:46" s="2" customFormat="1" x14ac:dyDescent="0.25">
      <c r="A614" s="26"/>
      <c r="B614" s="26" t="s">
        <v>96</v>
      </c>
      <c r="C614" s="306"/>
      <c r="D614" s="33" t="s">
        <v>3</v>
      </c>
      <c r="E614" s="34">
        <v>40527</v>
      </c>
      <c r="F614" s="34" t="s">
        <v>258</v>
      </c>
      <c r="G614" s="35" t="s">
        <v>139</v>
      </c>
      <c r="H614" s="35">
        <v>31220220</v>
      </c>
      <c r="I614" s="35">
        <v>585101</v>
      </c>
      <c r="J614" s="2" t="s">
        <v>1</v>
      </c>
      <c r="K614" s="27">
        <v>300000</v>
      </c>
      <c r="L614" s="4">
        <v>75000</v>
      </c>
      <c r="M614" s="4">
        <v>75000</v>
      </c>
      <c r="N614" s="4">
        <v>75000</v>
      </c>
      <c r="O614" s="4">
        <v>75000</v>
      </c>
      <c r="P614" s="2" t="s">
        <v>11</v>
      </c>
      <c r="Q614" s="367"/>
      <c r="R614" s="283"/>
      <c r="S614" s="367"/>
      <c r="T614" s="283"/>
      <c r="U614" s="283"/>
      <c r="Z614" s="490"/>
      <c r="AA614" s="60"/>
    </row>
    <row r="615" spans="1:46" s="2" customFormat="1" x14ac:dyDescent="0.25">
      <c r="A615" s="26"/>
      <c r="B615" s="26"/>
      <c r="C615" s="306"/>
      <c r="D615" s="33"/>
      <c r="E615" s="34" t="s">
        <v>12</v>
      </c>
      <c r="F615" s="34"/>
      <c r="G615" s="35" t="s">
        <v>175</v>
      </c>
      <c r="H615" s="35"/>
      <c r="I615" s="35"/>
      <c r="J615" s="17" t="s">
        <v>2</v>
      </c>
      <c r="K615" s="28">
        <v>27000</v>
      </c>
      <c r="L615" s="11">
        <v>9750</v>
      </c>
      <c r="M615" s="11">
        <v>6750</v>
      </c>
      <c r="N615" s="11">
        <f>2625+1125</f>
        <v>3750</v>
      </c>
      <c r="O615" s="11">
        <v>1125</v>
      </c>
      <c r="P615" s="17" t="s">
        <v>11</v>
      </c>
      <c r="Q615" s="368"/>
      <c r="R615" s="11"/>
      <c r="S615" s="368"/>
      <c r="T615" s="142"/>
      <c r="U615" s="142"/>
      <c r="V615" s="17"/>
      <c r="W615" s="17"/>
      <c r="X615" s="17"/>
      <c r="Y615" s="17"/>
      <c r="Z615" s="491"/>
      <c r="AA615" s="532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</row>
    <row r="616" spans="1:46" s="6" customFormat="1" ht="13.8" thickBot="1" x14ac:dyDescent="0.3">
      <c r="A616" s="120"/>
      <c r="B616" s="120"/>
      <c r="C616" s="307"/>
      <c r="D616" s="85"/>
      <c r="E616" s="86" t="s">
        <v>160</v>
      </c>
      <c r="F616" s="86" t="s">
        <v>410</v>
      </c>
      <c r="G616" s="125" t="s">
        <v>174</v>
      </c>
      <c r="H616" s="125"/>
      <c r="I616" s="125"/>
      <c r="J616" s="41" t="s">
        <v>6</v>
      </c>
      <c r="K616" s="42">
        <f>K615+K614</f>
        <v>327000</v>
      </c>
      <c r="L616" s="43">
        <f>L615+L614</f>
        <v>84750</v>
      </c>
      <c r="M616" s="43">
        <f>M615+M614</f>
        <v>81750</v>
      </c>
      <c r="N616" s="43">
        <f t="shared" ref="N616" si="432">N615+N614</f>
        <v>78750</v>
      </c>
      <c r="O616" s="43">
        <f t="shared" ref="O616" si="433">O615+O614</f>
        <v>76125</v>
      </c>
      <c r="P616" s="41" t="s">
        <v>11</v>
      </c>
      <c r="Q616" s="41"/>
      <c r="R616" s="43"/>
      <c r="S616" s="41"/>
      <c r="T616" s="43"/>
      <c r="U616" s="43"/>
      <c r="V616" s="41"/>
      <c r="W616" s="41"/>
      <c r="X616" s="41"/>
      <c r="Y616" s="41"/>
      <c r="Z616" s="492"/>
      <c r="AA616" s="533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</row>
    <row r="617" spans="1:46" s="2" customFormat="1" x14ac:dyDescent="0.25">
      <c r="A617" s="26"/>
      <c r="B617" s="26" t="s">
        <v>96</v>
      </c>
      <c r="C617" s="306"/>
      <c r="D617" s="33" t="s">
        <v>3</v>
      </c>
      <c r="E617" s="34">
        <v>40527</v>
      </c>
      <c r="F617" s="34" t="s">
        <v>258</v>
      </c>
      <c r="G617" s="35" t="s">
        <v>390</v>
      </c>
      <c r="H617" s="35">
        <v>31220220</v>
      </c>
      <c r="I617" s="35">
        <v>585008</v>
      </c>
      <c r="J617" s="2" t="s">
        <v>1</v>
      </c>
      <c r="K617" s="27">
        <v>25000</v>
      </c>
      <c r="L617" s="4">
        <v>10000</v>
      </c>
      <c r="M617" s="4">
        <v>5000</v>
      </c>
      <c r="N617" s="4">
        <v>5000</v>
      </c>
      <c r="O617" s="4">
        <v>5000</v>
      </c>
      <c r="P617" s="2" t="s">
        <v>11</v>
      </c>
      <c r="Q617" s="367"/>
      <c r="R617" s="283"/>
      <c r="S617" s="367"/>
      <c r="T617" s="283"/>
      <c r="U617" s="283"/>
      <c r="Z617" s="490"/>
      <c r="AA617" s="60"/>
    </row>
    <row r="618" spans="1:46" s="2" customFormat="1" x14ac:dyDescent="0.25">
      <c r="A618" s="26"/>
      <c r="B618" s="26"/>
      <c r="C618" s="306"/>
      <c r="D618" s="33"/>
      <c r="E618" s="34" t="s">
        <v>12</v>
      </c>
      <c r="F618" s="34"/>
      <c r="G618" s="35" t="s">
        <v>140</v>
      </c>
      <c r="H618" s="35"/>
      <c r="I618" s="35"/>
      <c r="J618" s="17" t="s">
        <v>2</v>
      </c>
      <c r="K618" s="28">
        <v>2000</v>
      </c>
      <c r="L618" s="11">
        <v>750</v>
      </c>
      <c r="M618" s="11">
        <v>450</v>
      </c>
      <c r="N618" s="11">
        <f>175+75</f>
        <v>250</v>
      </c>
      <c r="O618" s="11">
        <v>75</v>
      </c>
      <c r="P618" s="17" t="s">
        <v>11</v>
      </c>
      <c r="Q618" s="368"/>
      <c r="R618" s="11"/>
      <c r="S618" s="368"/>
      <c r="T618" s="142"/>
      <c r="U618" s="142"/>
      <c r="V618" s="17"/>
      <c r="W618" s="17"/>
      <c r="X618" s="17"/>
      <c r="Y618" s="17"/>
      <c r="Z618" s="491"/>
      <c r="AA618" s="532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</row>
    <row r="619" spans="1:46" s="6" customFormat="1" ht="13.8" thickBot="1" x14ac:dyDescent="0.3">
      <c r="A619" s="120"/>
      <c r="B619" s="120"/>
      <c r="C619" s="307"/>
      <c r="D619" s="85"/>
      <c r="E619" s="86" t="s">
        <v>160</v>
      </c>
      <c r="F619" s="86" t="s">
        <v>410</v>
      </c>
      <c r="G619" s="125"/>
      <c r="H619" s="125"/>
      <c r="I619" s="125"/>
      <c r="J619" s="41" t="s">
        <v>6</v>
      </c>
      <c r="K619" s="42">
        <f>K618+K617</f>
        <v>27000</v>
      </c>
      <c r="L619" s="43">
        <f>L618+L617</f>
        <v>10750</v>
      </c>
      <c r="M619" s="43">
        <f t="shared" ref="M619:O619" si="434">M618+M617</f>
        <v>5450</v>
      </c>
      <c r="N619" s="43">
        <f t="shared" si="434"/>
        <v>5250</v>
      </c>
      <c r="O619" s="43">
        <f t="shared" si="434"/>
        <v>5075</v>
      </c>
      <c r="P619" s="41" t="s">
        <v>11</v>
      </c>
      <c r="Q619" s="41"/>
      <c r="R619" s="43"/>
      <c r="S619" s="41"/>
      <c r="T619" s="43"/>
      <c r="U619" s="43"/>
      <c r="V619" s="41"/>
      <c r="W619" s="41"/>
      <c r="X619" s="41"/>
      <c r="Y619" s="41"/>
      <c r="Z619" s="492"/>
      <c r="AA619" s="533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</row>
    <row r="620" spans="1:46" s="2" customFormat="1" x14ac:dyDescent="0.25">
      <c r="A620" s="26"/>
      <c r="B620" s="26" t="s">
        <v>96</v>
      </c>
      <c r="C620" s="306"/>
      <c r="D620" s="33" t="s">
        <v>3</v>
      </c>
      <c r="E620" s="34">
        <v>40527</v>
      </c>
      <c r="F620" s="34" t="s">
        <v>258</v>
      </c>
      <c r="G620" s="35" t="s">
        <v>141</v>
      </c>
      <c r="H620" s="35"/>
      <c r="I620" s="35"/>
      <c r="J620" s="2" t="s">
        <v>1</v>
      </c>
      <c r="K620" s="27">
        <v>30000</v>
      </c>
      <c r="L620" s="4">
        <v>10000</v>
      </c>
      <c r="M620" s="4">
        <v>5000</v>
      </c>
      <c r="N620" s="4">
        <v>5000</v>
      </c>
      <c r="O620" s="4">
        <v>5000</v>
      </c>
      <c r="P620" s="4">
        <v>5000</v>
      </c>
      <c r="Q620" s="367" t="s">
        <v>11</v>
      </c>
      <c r="R620" s="283"/>
      <c r="S620" s="283"/>
      <c r="T620" s="283"/>
      <c r="U620" s="283"/>
      <c r="Z620" s="490"/>
      <c r="AA620" s="60"/>
    </row>
    <row r="621" spans="1:46" s="2" customFormat="1" x14ac:dyDescent="0.25">
      <c r="A621" s="26"/>
      <c r="B621" s="26"/>
      <c r="C621" s="306"/>
      <c r="D621" s="33"/>
      <c r="E621" s="34" t="s">
        <v>12</v>
      </c>
      <c r="F621" s="34"/>
      <c r="G621" s="35" t="s">
        <v>142</v>
      </c>
      <c r="H621" s="35"/>
      <c r="I621" s="35"/>
      <c r="J621" s="17" t="s">
        <v>2</v>
      </c>
      <c r="K621" s="28">
        <v>2750</v>
      </c>
      <c r="L621" s="11">
        <v>900</v>
      </c>
      <c r="M621" s="11">
        <v>600</v>
      </c>
      <c r="N621" s="11">
        <f>250+150</f>
        <v>400</v>
      </c>
      <c r="O621" s="11">
        <f>150+75</f>
        <v>225</v>
      </c>
      <c r="P621" s="11">
        <v>75</v>
      </c>
      <c r="Q621" s="368" t="s">
        <v>11</v>
      </c>
      <c r="R621" s="142"/>
      <c r="S621" s="142"/>
      <c r="T621" s="142"/>
      <c r="U621" s="142"/>
      <c r="V621" s="17"/>
      <c r="W621" s="17"/>
      <c r="X621" s="17"/>
      <c r="Y621" s="17"/>
      <c r="Z621" s="491"/>
      <c r="AA621" s="532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</row>
    <row r="622" spans="1:46" s="6" customFormat="1" ht="13.8" thickBot="1" x14ac:dyDescent="0.3">
      <c r="A622" s="120"/>
      <c r="B622" s="120"/>
      <c r="C622" s="307"/>
      <c r="D622" s="85"/>
      <c r="E622" s="86" t="s">
        <v>160</v>
      </c>
      <c r="F622" s="86" t="s">
        <v>410</v>
      </c>
      <c r="G622" s="125"/>
      <c r="H622" s="125"/>
      <c r="I622" s="125"/>
      <c r="J622" s="41" t="s">
        <v>6</v>
      </c>
      <c r="K622" s="42">
        <f>K621+K620</f>
        <v>32750</v>
      </c>
      <c r="L622" s="43">
        <f>L621+L620</f>
        <v>10900</v>
      </c>
      <c r="M622" s="43">
        <f t="shared" ref="M622:P622" si="435">M621+M620</f>
        <v>5600</v>
      </c>
      <c r="N622" s="43">
        <f t="shared" si="435"/>
        <v>5400</v>
      </c>
      <c r="O622" s="43">
        <f t="shared" si="435"/>
        <v>5225</v>
      </c>
      <c r="P622" s="43">
        <f t="shared" si="435"/>
        <v>5075</v>
      </c>
      <c r="Q622" s="41" t="s">
        <v>11</v>
      </c>
      <c r="R622" s="43"/>
      <c r="S622" s="43"/>
      <c r="T622" s="43"/>
      <c r="U622" s="43"/>
      <c r="V622" s="41"/>
      <c r="W622" s="41"/>
      <c r="X622" s="41"/>
      <c r="Y622" s="41"/>
      <c r="Z622" s="492"/>
      <c r="AA622" s="533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</row>
    <row r="623" spans="1:46" s="2" customFormat="1" x14ac:dyDescent="0.25">
      <c r="A623" s="26"/>
      <c r="B623" s="26" t="s">
        <v>96</v>
      </c>
      <c r="C623" s="306"/>
      <c r="D623" s="33" t="s">
        <v>3</v>
      </c>
      <c r="E623" s="34">
        <v>40527</v>
      </c>
      <c r="F623" s="34" t="s">
        <v>258</v>
      </c>
      <c r="G623" s="35" t="s">
        <v>143</v>
      </c>
      <c r="H623" s="35">
        <v>31210220</v>
      </c>
      <c r="I623" s="35">
        <v>543004</v>
      </c>
      <c r="J623" s="2" t="s">
        <v>1</v>
      </c>
      <c r="K623" s="27">
        <v>43000</v>
      </c>
      <c r="L623" s="4">
        <v>13000</v>
      </c>
      <c r="M623" s="4">
        <v>10000</v>
      </c>
      <c r="N623" s="4">
        <v>10000</v>
      </c>
      <c r="O623" s="4">
        <v>5000</v>
      </c>
      <c r="P623" s="4">
        <v>5000</v>
      </c>
      <c r="Q623" s="367" t="s">
        <v>11</v>
      </c>
      <c r="R623" s="283"/>
      <c r="S623" s="283"/>
      <c r="T623" s="283"/>
      <c r="U623" s="283"/>
      <c r="Z623" s="490"/>
      <c r="AA623" s="60"/>
    </row>
    <row r="624" spans="1:46" s="2" customFormat="1" x14ac:dyDescent="0.25">
      <c r="A624" s="26"/>
      <c r="B624" s="26"/>
      <c r="C624" s="306"/>
      <c r="D624" s="33"/>
      <c r="E624" s="34" t="s">
        <v>12</v>
      </c>
      <c r="F624" s="34"/>
      <c r="G624" s="35" t="s">
        <v>144</v>
      </c>
      <c r="H624" s="35"/>
      <c r="I624" s="35"/>
      <c r="J624" s="17" t="s">
        <v>2</v>
      </c>
      <c r="K624" s="28">
        <v>3870</v>
      </c>
      <c r="L624" s="11">
        <v>1360</v>
      </c>
      <c r="M624" s="11">
        <v>900</v>
      </c>
      <c r="N624" s="11">
        <f>350+150</f>
        <v>500</v>
      </c>
      <c r="O624" s="11">
        <f>150+75</f>
        <v>225</v>
      </c>
      <c r="P624" s="11">
        <v>75</v>
      </c>
      <c r="Q624" s="368" t="s">
        <v>11</v>
      </c>
      <c r="R624" s="142"/>
      <c r="S624" s="142"/>
      <c r="T624" s="142"/>
      <c r="U624" s="142"/>
      <c r="V624" s="17"/>
      <c r="W624" s="17"/>
      <c r="X624" s="17"/>
      <c r="Y624" s="17"/>
      <c r="Z624" s="491"/>
      <c r="AA624" s="532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</row>
    <row r="625" spans="1:46" s="6" customFormat="1" ht="13.8" thickBot="1" x14ac:dyDescent="0.3">
      <c r="A625" s="120"/>
      <c r="B625" s="120"/>
      <c r="C625" s="307"/>
      <c r="D625" s="85"/>
      <c r="E625" s="86" t="s">
        <v>160</v>
      </c>
      <c r="F625" s="86" t="s">
        <v>410</v>
      </c>
      <c r="G625" s="125"/>
      <c r="H625" s="125"/>
      <c r="I625" s="125"/>
      <c r="J625" s="41" t="s">
        <v>6</v>
      </c>
      <c r="K625" s="42">
        <f>K624+K623</f>
        <v>46870</v>
      </c>
      <c r="L625" s="43">
        <f>L624+L623</f>
        <v>14360</v>
      </c>
      <c r="M625" s="43">
        <f t="shared" ref="M625" si="436">M624+M623</f>
        <v>10900</v>
      </c>
      <c r="N625" s="43">
        <f t="shared" ref="N625" si="437">N624+N623</f>
        <v>10500</v>
      </c>
      <c r="O625" s="43">
        <f t="shared" ref="O625" si="438">O624+O623</f>
        <v>5225</v>
      </c>
      <c r="P625" s="43">
        <f t="shared" ref="P625" si="439">P624+P623</f>
        <v>5075</v>
      </c>
      <c r="Q625" s="41" t="s">
        <v>11</v>
      </c>
      <c r="R625" s="43"/>
      <c r="S625" s="43"/>
      <c r="T625" s="43"/>
      <c r="U625" s="43"/>
      <c r="V625" s="41"/>
      <c r="W625" s="41"/>
      <c r="X625" s="41"/>
      <c r="Y625" s="41"/>
      <c r="Z625" s="492"/>
      <c r="AA625" s="533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</row>
    <row r="626" spans="1:46" s="2" customFormat="1" x14ac:dyDescent="0.25">
      <c r="A626" s="26"/>
      <c r="B626" s="26" t="s">
        <v>96</v>
      </c>
      <c r="C626" s="306"/>
      <c r="D626" s="33" t="s">
        <v>3</v>
      </c>
      <c r="E626" s="34">
        <v>40527</v>
      </c>
      <c r="F626" s="34" t="s">
        <v>258</v>
      </c>
      <c r="G626" s="35" t="s">
        <v>364</v>
      </c>
      <c r="H626" s="35">
        <v>31650230</v>
      </c>
      <c r="I626" s="35">
        <v>585115</v>
      </c>
      <c r="J626" s="2" t="s">
        <v>1</v>
      </c>
      <c r="K626" s="27">
        <v>50000</v>
      </c>
      <c r="L626" s="4">
        <v>10000</v>
      </c>
      <c r="M626" s="4">
        <v>10000</v>
      </c>
      <c r="N626" s="4">
        <v>10000</v>
      </c>
      <c r="O626" s="4">
        <v>10000</v>
      </c>
      <c r="P626" s="4">
        <v>10000</v>
      </c>
      <c r="Q626" s="367" t="s">
        <v>11</v>
      </c>
      <c r="R626" s="283"/>
      <c r="S626" s="283"/>
      <c r="T626" s="283"/>
      <c r="U626" s="283"/>
      <c r="Z626" s="490"/>
      <c r="AA626" s="60"/>
    </row>
    <row r="627" spans="1:46" s="2" customFormat="1" x14ac:dyDescent="0.25">
      <c r="A627" s="26"/>
      <c r="B627" s="26"/>
      <c r="C627" s="306"/>
      <c r="D627" s="33"/>
      <c r="E627" s="34" t="s">
        <v>12</v>
      </c>
      <c r="F627" s="34"/>
      <c r="G627" s="35" t="s">
        <v>145</v>
      </c>
      <c r="H627" s="35"/>
      <c r="I627" s="35"/>
      <c r="J627" s="17" t="s">
        <v>2</v>
      </c>
      <c r="K627" s="28">
        <v>5100</v>
      </c>
      <c r="L627" s="11">
        <v>1600</v>
      </c>
      <c r="M627" s="11">
        <v>1200</v>
      </c>
      <c r="N627" s="11">
        <f>500+300</f>
        <v>800</v>
      </c>
      <c r="O627" s="11">
        <f>300+150</f>
        <v>450</v>
      </c>
      <c r="P627" s="11">
        <v>150</v>
      </c>
      <c r="Q627" s="368" t="s">
        <v>11</v>
      </c>
      <c r="R627" s="142"/>
      <c r="S627" s="142"/>
      <c r="T627" s="142"/>
      <c r="U627" s="142"/>
      <c r="V627" s="17"/>
      <c r="W627" s="17"/>
      <c r="X627" s="17"/>
      <c r="Y627" s="17"/>
      <c r="Z627" s="491"/>
      <c r="AA627" s="532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</row>
    <row r="628" spans="1:46" s="6" customFormat="1" ht="13.8" thickBot="1" x14ac:dyDescent="0.3">
      <c r="A628" s="120"/>
      <c r="B628" s="120"/>
      <c r="C628" s="307"/>
      <c r="D628" s="85"/>
      <c r="E628" s="86" t="s">
        <v>160</v>
      </c>
      <c r="F628" s="86" t="s">
        <v>410</v>
      </c>
      <c r="G628" s="125"/>
      <c r="H628" s="125"/>
      <c r="I628" s="125"/>
      <c r="J628" s="41" t="s">
        <v>6</v>
      </c>
      <c r="K628" s="42">
        <f>K627+K626</f>
        <v>55100</v>
      </c>
      <c r="L628" s="43">
        <f>L627+L626</f>
        <v>11600</v>
      </c>
      <c r="M628" s="43">
        <f t="shared" ref="M628" si="440">M627+M626</f>
        <v>11200</v>
      </c>
      <c r="N628" s="43">
        <f t="shared" ref="N628" si="441">N627+N626</f>
        <v>10800</v>
      </c>
      <c r="O628" s="43">
        <f t="shared" ref="O628" si="442">O627+O626</f>
        <v>10450</v>
      </c>
      <c r="P628" s="43">
        <f t="shared" ref="P628" si="443">P627+P626</f>
        <v>10150</v>
      </c>
      <c r="Q628" s="41" t="s">
        <v>11</v>
      </c>
      <c r="R628" s="43"/>
      <c r="S628" s="43"/>
      <c r="T628" s="43"/>
      <c r="U628" s="43"/>
      <c r="V628" s="41"/>
      <c r="W628" s="41"/>
      <c r="X628" s="41"/>
      <c r="Y628" s="41"/>
      <c r="Z628" s="492"/>
      <c r="AA628" s="533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</row>
    <row r="629" spans="1:46" s="2" customFormat="1" x14ac:dyDescent="0.25">
      <c r="A629" s="26"/>
      <c r="B629" s="26" t="s">
        <v>96</v>
      </c>
      <c r="C629" s="306"/>
      <c r="D629" s="33" t="s">
        <v>3</v>
      </c>
      <c r="E629" s="34">
        <v>40527</v>
      </c>
      <c r="F629" s="34" t="s">
        <v>269</v>
      </c>
      <c r="G629" s="35" t="s">
        <v>146</v>
      </c>
      <c r="H629" s="35">
        <v>31220230</v>
      </c>
      <c r="I629" s="35">
        <v>584007</v>
      </c>
      <c r="J629" s="2" t="s">
        <v>1</v>
      </c>
      <c r="K629" s="138">
        <v>52200</v>
      </c>
      <c r="L629" s="4">
        <v>12200</v>
      </c>
      <c r="M629" s="4">
        <v>10000</v>
      </c>
      <c r="N629" s="4">
        <v>10000</v>
      </c>
      <c r="O629" s="4">
        <v>10000</v>
      </c>
      <c r="P629" s="4">
        <v>10000</v>
      </c>
      <c r="Q629" s="367" t="s">
        <v>11</v>
      </c>
      <c r="R629" s="283"/>
      <c r="S629" s="283"/>
      <c r="T629" s="283"/>
      <c r="U629" s="283"/>
      <c r="Z629" s="490"/>
      <c r="AA629" s="60"/>
    </row>
    <row r="630" spans="1:46" s="2" customFormat="1" x14ac:dyDescent="0.25">
      <c r="A630" s="26"/>
      <c r="B630" s="26"/>
      <c r="C630" s="306"/>
      <c r="D630" s="33"/>
      <c r="E630" s="34" t="s">
        <v>12</v>
      </c>
      <c r="F630" s="34"/>
      <c r="G630" s="35" t="s">
        <v>147</v>
      </c>
      <c r="H630" s="35"/>
      <c r="I630" s="35"/>
      <c r="J630" s="17" t="s">
        <v>2</v>
      </c>
      <c r="K630" s="28">
        <v>5188</v>
      </c>
      <c r="L630" s="11">
        <v>1644</v>
      </c>
      <c r="M630" s="11">
        <v>1200</v>
      </c>
      <c r="N630" s="11">
        <f>500+300</f>
        <v>800</v>
      </c>
      <c r="O630" s="11">
        <f>300+150</f>
        <v>450</v>
      </c>
      <c r="P630" s="11">
        <v>150</v>
      </c>
      <c r="Q630" s="368" t="s">
        <v>11</v>
      </c>
      <c r="R630" s="142"/>
      <c r="S630" s="142"/>
      <c r="T630" s="142"/>
      <c r="U630" s="142"/>
      <c r="V630" s="17"/>
      <c r="W630" s="17"/>
      <c r="X630" s="17"/>
      <c r="Y630" s="17"/>
      <c r="Z630" s="491"/>
      <c r="AA630" s="532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</row>
    <row r="631" spans="1:46" s="6" customFormat="1" ht="13.8" thickBot="1" x14ac:dyDescent="0.3">
      <c r="A631" s="120"/>
      <c r="B631" s="120"/>
      <c r="C631" s="307"/>
      <c r="D631" s="85"/>
      <c r="E631" s="86" t="s">
        <v>40</v>
      </c>
      <c r="F631" s="86" t="s">
        <v>410</v>
      </c>
      <c r="G631" s="125"/>
      <c r="H631" s="125"/>
      <c r="I631" s="125"/>
      <c r="J631" s="41" t="s">
        <v>6</v>
      </c>
      <c r="K631" s="42">
        <f>K630+K629</f>
        <v>57388</v>
      </c>
      <c r="L631" s="43">
        <f>L630+L629</f>
        <v>13844</v>
      </c>
      <c r="M631" s="43">
        <f t="shared" ref="M631" si="444">M630+M629</f>
        <v>11200</v>
      </c>
      <c r="N631" s="43">
        <f t="shared" ref="N631" si="445">N630+N629</f>
        <v>10800</v>
      </c>
      <c r="O631" s="43">
        <f t="shared" ref="O631" si="446">O630+O629</f>
        <v>10450</v>
      </c>
      <c r="P631" s="43">
        <f t="shared" ref="P631" si="447">P630+P629</f>
        <v>10150</v>
      </c>
      <c r="Q631" s="41" t="s">
        <v>11</v>
      </c>
      <c r="R631" s="43"/>
      <c r="S631" s="43"/>
      <c r="T631" s="43"/>
      <c r="U631" s="43"/>
      <c r="V631" s="41"/>
      <c r="W631" s="41"/>
      <c r="X631" s="41"/>
      <c r="Y631" s="41"/>
      <c r="Z631" s="492"/>
      <c r="AA631" s="533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</row>
    <row r="632" spans="1:46" s="3" customFormat="1" x14ac:dyDescent="0.25">
      <c r="A632" s="121"/>
      <c r="B632" s="121"/>
      <c r="C632" s="306"/>
      <c r="D632" s="54"/>
      <c r="E632" s="54"/>
      <c r="F632" s="54"/>
      <c r="G632" s="36" t="s">
        <v>32</v>
      </c>
      <c r="H632" s="152">
        <v>1773119</v>
      </c>
      <c r="I632" s="36">
        <v>591100</v>
      </c>
      <c r="J632" s="33" t="s">
        <v>1</v>
      </c>
      <c r="K632" s="37">
        <f>K629+K626+K623+K620+K617+K614+K611+K608+K605+K602+K599+K596+K593+K590+K587+K584+K581+K578+K575+K572+K569</f>
        <v>3192985</v>
      </c>
      <c r="L632" s="67">
        <f>L629+L626+L623+L620+L617+L614+L611+L608+L605+L602+L599+L596+L593+L590+L587+L584+L581+L578+L575+L572+L569</f>
        <v>647985</v>
      </c>
      <c r="M632" s="67">
        <f t="shared" ref="M632:O632" si="448">M629+M626+M623+M620+M617+M614+M611+M608+M605+M602+M599+M596+M593+M590+M587+M584+M581+M578+M575+M572+M569</f>
        <v>610000</v>
      </c>
      <c r="N632" s="67">
        <f>N629+N626+N623+N620+N617+N614+N611+N608+N605+N602+N599+N596+N593+N590+N587+N584+N581+N578+N575+N572+N569</f>
        <v>595000</v>
      </c>
      <c r="O632" s="67">
        <f t="shared" si="448"/>
        <v>575000</v>
      </c>
      <c r="P632" s="67">
        <f>P629+P626+P623+P620+P611+P602+P599+P596+P593+P587+P584+P581+P578</f>
        <v>425000</v>
      </c>
      <c r="Q632" s="67">
        <f>Q593+Q587</f>
        <v>55000</v>
      </c>
      <c r="R632" s="67">
        <f t="shared" ref="R632:T632" si="449">R593+R587</f>
        <v>55000</v>
      </c>
      <c r="S632" s="67">
        <f t="shared" si="449"/>
        <v>55000</v>
      </c>
      <c r="T632" s="67">
        <f t="shared" si="449"/>
        <v>55000</v>
      </c>
      <c r="U632" s="67">
        <f>U587</f>
        <v>20000</v>
      </c>
      <c r="V632" s="67">
        <f t="shared" ref="V632:Z632" si="450">V587</f>
        <v>20000</v>
      </c>
      <c r="W632" s="67">
        <f t="shared" si="450"/>
        <v>20000</v>
      </c>
      <c r="X632" s="67">
        <f t="shared" si="450"/>
        <v>20000</v>
      </c>
      <c r="Y632" s="67">
        <f t="shared" si="450"/>
        <v>20000</v>
      </c>
      <c r="Z632" s="507">
        <f t="shared" si="450"/>
        <v>20000</v>
      </c>
      <c r="AA632" s="548" t="s">
        <v>11</v>
      </c>
      <c r="AB632" s="67"/>
      <c r="AC632" s="67"/>
    </row>
    <row r="633" spans="1:46" s="3" customFormat="1" x14ac:dyDescent="0.25">
      <c r="A633" s="121"/>
      <c r="B633" s="121"/>
      <c r="C633" s="306"/>
      <c r="D633" s="54"/>
      <c r="E633" s="54"/>
      <c r="F633" s="54"/>
      <c r="G633" s="33"/>
      <c r="H633" s="152">
        <v>1773119</v>
      </c>
      <c r="I633" s="33">
        <v>595100</v>
      </c>
      <c r="J633" s="38" t="s">
        <v>2</v>
      </c>
      <c r="K633" s="39">
        <f>K630+K627+K624+K621+K618+K615+K612+K609+K606+K603+K600+K597+K594+K591+K588+K585+K582+K579+K576+K573+K570</f>
        <v>395419.4</v>
      </c>
      <c r="L633" s="16">
        <f>L630+L627+L624+L621+L618+L615+L612+L609+L606+L603+L600+L597+L594+L591+L588+L585+L582+L579+L576+L573+L570</f>
        <v>103459.7</v>
      </c>
      <c r="M633" s="16">
        <f t="shared" ref="M633:O633" si="451">M630+M627+M624+M621+M618+M615+M612+M609+M606+M603+M600+M597+M594+M591+M588+M585+M582+M579+M576+M573+M570</f>
        <v>78300</v>
      </c>
      <c r="N633" s="16">
        <f t="shared" si="451"/>
        <v>54200</v>
      </c>
      <c r="O633" s="16">
        <f t="shared" si="451"/>
        <v>33675</v>
      </c>
      <c r="P633" s="16">
        <f>P630+P627+P624+P621+P612+P603+P600+P597+P594+P588+P585+P582+P579</f>
        <v>18675</v>
      </c>
      <c r="Q633" s="16">
        <f>Q594+Q588</f>
        <v>11475</v>
      </c>
      <c r="R633" s="16">
        <f t="shared" ref="R633:T633" si="452">R594+R588</f>
        <v>9825</v>
      </c>
      <c r="S633" s="16">
        <f t="shared" si="452"/>
        <v>7900</v>
      </c>
      <c r="T633" s="16">
        <f t="shared" si="452"/>
        <v>5700</v>
      </c>
      <c r="U633" s="16">
        <f>U588</f>
        <v>4225</v>
      </c>
      <c r="V633" s="16">
        <f t="shared" ref="V633:Z633" si="453">V588</f>
        <v>3475</v>
      </c>
      <c r="W633" s="16">
        <f t="shared" si="453"/>
        <v>2725</v>
      </c>
      <c r="X633" s="16">
        <f t="shared" si="453"/>
        <v>1975</v>
      </c>
      <c r="Y633" s="16">
        <f t="shared" si="453"/>
        <v>1200</v>
      </c>
      <c r="Z633" s="502">
        <f t="shared" si="453"/>
        <v>400</v>
      </c>
      <c r="AA633" s="63" t="s">
        <v>11</v>
      </c>
      <c r="AB633" s="16"/>
      <c r="AC633" s="16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</row>
    <row r="634" spans="1:46" s="8" customFormat="1" ht="13.8" thickBot="1" x14ac:dyDescent="0.3">
      <c r="A634" s="122"/>
      <c r="B634" s="122"/>
      <c r="C634" s="307"/>
      <c r="D634" s="85"/>
      <c r="E634" s="85"/>
      <c r="F634" s="85"/>
      <c r="G634" s="85"/>
      <c r="H634" s="85"/>
      <c r="I634" s="85"/>
      <c r="J634" s="44" t="s">
        <v>5</v>
      </c>
      <c r="K634" s="45">
        <f>K633+K632</f>
        <v>3588404.4</v>
      </c>
      <c r="L634" s="46">
        <f>L633+L632</f>
        <v>751444.7</v>
      </c>
      <c r="M634" s="46">
        <f t="shared" ref="M634:Q634" si="454">M633+M632</f>
        <v>688300</v>
      </c>
      <c r="N634" s="46">
        <f t="shared" si="454"/>
        <v>649200</v>
      </c>
      <c r="O634" s="46">
        <f t="shared" si="454"/>
        <v>608675</v>
      </c>
      <c r="P634" s="46">
        <f t="shared" si="454"/>
        <v>443675</v>
      </c>
      <c r="Q634" s="46">
        <f t="shared" si="454"/>
        <v>66475</v>
      </c>
      <c r="R634" s="46">
        <f t="shared" ref="R634" si="455">R633+R632</f>
        <v>64825</v>
      </c>
      <c r="S634" s="46">
        <f t="shared" ref="S634" si="456">S633+S632</f>
        <v>62900</v>
      </c>
      <c r="T634" s="46">
        <f t="shared" ref="T634" si="457">T633+T632</f>
        <v>60700</v>
      </c>
      <c r="U634" s="46">
        <f t="shared" ref="U634" si="458">U633+U632</f>
        <v>24225</v>
      </c>
      <c r="V634" s="46">
        <f t="shared" ref="V634" si="459">V633+V632</f>
        <v>23475</v>
      </c>
      <c r="W634" s="46">
        <f t="shared" ref="W634" si="460">W633+W632</f>
        <v>22725</v>
      </c>
      <c r="X634" s="46">
        <f t="shared" ref="X634" si="461">X633+X632</f>
        <v>21975</v>
      </c>
      <c r="Y634" s="46">
        <f t="shared" ref="Y634" si="462">Y633+Y632</f>
        <v>21200</v>
      </c>
      <c r="Z634" s="503">
        <f t="shared" ref="Z634" si="463">Z633+Z632</f>
        <v>20400</v>
      </c>
      <c r="AA634" s="65" t="s">
        <v>11</v>
      </c>
      <c r="AB634" s="46"/>
      <c r="AC634" s="46"/>
      <c r="AD634" s="47"/>
      <c r="AE634" s="47"/>
      <c r="AF634" s="47"/>
      <c r="AG634" s="47"/>
      <c r="AH634" s="47"/>
      <c r="AI634" s="47"/>
      <c r="AJ634" s="47"/>
      <c r="AK634" s="47"/>
      <c r="AL634" s="47"/>
      <c r="AM634" s="47"/>
      <c r="AN634" s="47"/>
      <c r="AO634" s="47"/>
      <c r="AP634" s="47"/>
      <c r="AQ634" s="47"/>
      <c r="AR634" s="47"/>
      <c r="AS634" s="47"/>
      <c r="AT634" s="47"/>
    </row>
    <row r="635" spans="1:46" s="2" customFormat="1" x14ac:dyDescent="0.25">
      <c r="A635" s="26" t="s">
        <v>0</v>
      </c>
      <c r="B635" s="26" t="s">
        <v>96</v>
      </c>
      <c r="C635" s="306"/>
      <c r="D635" s="14" t="s">
        <v>0</v>
      </c>
      <c r="E635" s="24">
        <v>40527</v>
      </c>
      <c r="F635" s="24" t="s">
        <v>266</v>
      </c>
      <c r="G635" s="315" t="s">
        <v>113</v>
      </c>
      <c r="H635" s="315"/>
      <c r="I635" s="315"/>
      <c r="J635" s="2" t="s">
        <v>1</v>
      </c>
      <c r="K635" s="27">
        <v>258877</v>
      </c>
      <c r="L635" s="4">
        <v>23877</v>
      </c>
      <c r="M635" s="4">
        <v>20000</v>
      </c>
      <c r="N635" s="4">
        <v>20000</v>
      </c>
      <c r="O635" s="4">
        <v>20000</v>
      </c>
      <c r="P635" s="4">
        <v>20000</v>
      </c>
      <c r="Q635" s="4">
        <v>20000</v>
      </c>
      <c r="R635" s="4">
        <v>15000</v>
      </c>
      <c r="S635" s="4">
        <v>15000</v>
      </c>
      <c r="T635" s="4">
        <v>15000</v>
      </c>
      <c r="U635" s="283">
        <v>15000</v>
      </c>
      <c r="V635" s="283">
        <v>15000</v>
      </c>
      <c r="W635" s="283">
        <v>15000</v>
      </c>
      <c r="X635" s="283">
        <v>15000</v>
      </c>
      <c r="Y635" s="283">
        <v>15000</v>
      </c>
      <c r="Z635" s="497">
        <v>15000</v>
      </c>
      <c r="AA635" s="549" t="s">
        <v>11</v>
      </c>
    </row>
    <row r="636" spans="1:46" s="2" customFormat="1" x14ac:dyDescent="0.25">
      <c r="A636" s="400" t="s">
        <v>963</v>
      </c>
      <c r="B636" s="26"/>
      <c r="C636" s="306"/>
      <c r="D636" s="14"/>
      <c r="E636" s="24" t="s">
        <v>12</v>
      </c>
      <c r="F636" s="24"/>
      <c r="G636" s="15" t="s">
        <v>417</v>
      </c>
      <c r="H636" s="15"/>
      <c r="I636" s="15"/>
      <c r="J636" s="17" t="s">
        <v>2</v>
      </c>
      <c r="K636" s="28">
        <v>70580.08</v>
      </c>
      <c r="L636" s="11">
        <v>8977.5400000000009</v>
      </c>
      <c r="M636" s="11">
        <v>8100</v>
      </c>
      <c r="N636" s="11">
        <f>3850+3450</f>
        <v>7300</v>
      </c>
      <c r="O636" s="11">
        <f>3450+3150</f>
        <v>6600</v>
      </c>
      <c r="P636" s="142">
        <f>3150+2850</f>
        <v>6000</v>
      </c>
      <c r="Q636" s="142">
        <f>2850+2550</f>
        <v>5400</v>
      </c>
      <c r="R636" s="142">
        <f>2550+2325</f>
        <v>4875</v>
      </c>
      <c r="S636" s="142">
        <f>2325+2025</f>
        <v>4350</v>
      </c>
      <c r="T636" s="142">
        <f>2025+1725</f>
        <v>3750</v>
      </c>
      <c r="U636" s="142">
        <f>1725+1443.75</f>
        <v>3168.75</v>
      </c>
      <c r="V636" s="142">
        <f>1443.75+1162.5</f>
        <v>2606.25</v>
      </c>
      <c r="W636" s="142">
        <f>1162.5+881.25</f>
        <v>2043.75</v>
      </c>
      <c r="X636" s="142">
        <f>881.25+600</f>
        <v>1481.25</v>
      </c>
      <c r="Y636" s="142">
        <f>600+300</f>
        <v>900</v>
      </c>
      <c r="Z636" s="500">
        <v>300</v>
      </c>
      <c r="AA636" s="550" t="s">
        <v>11</v>
      </c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</row>
    <row r="637" spans="1:46" s="6" customFormat="1" ht="13.8" thickBot="1" x14ac:dyDescent="0.3">
      <c r="A637" s="409" t="s">
        <v>1116</v>
      </c>
      <c r="B637" s="120"/>
      <c r="C637" s="307"/>
      <c r="D637" s="87"/>
      <c r="E637" s="88" t="s">
        <v>14</v>
      </c>
      <c r="F637" s="88" t="s">
        <v>406</v>
      </c>
      <c r="G637" s="126" t="s">
        <v>712</v>
      </c>
      <c r="H637" s="139"/>
      <c r="I637" s="139"/>
      <c r="J637" s="41" t="s">
        <v>6</v>
      </c>
      <c r="K637" s="42">
        <f>K636+K635</f>
        <v>329457.08</v>
      </c>
      <c r="L637" s="43">
        <f>L636+L635</f>
        <v>32854.54</v>
      </c>
      <c r="M637" s="43">
        <f t="shared" ref="M637:Z637" si="464">M636+M635</f>
        <v>28100</v>
      </c>
      <c r="N637" s="43">
        <f t="shared" si="464"/>
        <v>27300</v>
      </c>
      <c r="O637" s="43">
        <f t="shared" si="464"/>
        <v>26600</v>
      </c>
      <c r="P637" s="43">
        <f t="shared" si="464"/>
        <v>26000</v>
      </c>
      <c r="Q637" s="43">
        <f t="shared" si="464"/>
        <v>25400</v>
      </c>
      <c r="R637" s="43">
        <f t="shared" si="464"/>
        <v>19875</v>
      </c>
      <c r="S637" s="43">
        <f t="shared" si="464"/>
        <v>19350</v>
      </c>
      <c r="T637" s="43">
        <f t="shared" si="464"/>
        <v>18750</v>
      </c>
      <c r="U637" s="43">
        <f t="shared" si="464"/>
        <v>18168.75</v>
      </c>
      <c r="V637" s="43">
        <f t="shared" si="464"/>
        <v>17606.25</v>
      </c>
      <c r="W637" s="43">
        <f t="shared" si="464"/>
        <v>17043.75</v>
      </c>
      <c r="X637" s="43">
        <f t="shared" si="464"/>
        <v>16481.25</v>
      </c>
      <c r="Y637" s="43">
        <f t="shared" si="464"/>
        <v>15900</v>
      </c>
      <c r="Z637" s="499">
        <f t="shared" si="464"/>
        <v>15300</v>
      </c>
      <c r="AA637" s="533" t="s">
        <v>11</v>
      </c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</row>
    <row r="638" spans="1:46" s="2" customFormat="1" x14ac:dyDescent="0.25">
      <c r="A638" s="26" t="s">
        <v>0</v>
      </c>
      <c r="B638" s="26" t="s">
        <v>96</v>
      </c>
      <c r="C638" s="306"/>
      <c r="D638" s="14" t="s">
        <v>0</v>
      </c>
      <c r="E638" s="24">
        <v>40527</v>
      </c>
      <c r="F638" s="24" t="s">
        <v>266</v>
      </c>
      <c r="G638" s="315" t="s">
        <v>113</v>
      </c>
      <c r="H638" s="315">
        <v>60311230</v>
      </c>
      <c r="I638" s="315">
        <v>530000</v>
      </c>
      <c r="J638" s="2" t="s">
        <v>1</v>
      </c>
      <c r="K638" s="27">
        <v>400000</v>
      </c>
      <c r="L638" s="4">
        <v>30000</v>
      </c>
      <c r="M638" s="4">
        <v>30000</v>
      </c>
      <c r="N638" s="4">
        <v>30000</v>
      </c>
      <c r="O638" s="4">
        <v>30000</v>
      </c>
      <c r="P638" s="4">
        <v>30000</v>
      </c>
      <c r="Q638" s="4">
        <v>25000</v>
      </c>
      <c r="R638" s="4">
        <v>25000</v>
      </c>
      <c r="S638" s="4">
        <v>25000</v>
      </c>
      <c r="T638" s="4">
        <v>25000</v>
      </c>
      <c r="U638" s="4">
        <v>25000</v>
      </c>
      <c r="V638" s="4">
        <v>25000</v>
      </c>
      <c r="W638" s="4">
        <v>25000</v>
      </c>
      <c r="X638" s="4">
        <v>25000</v>
      </c>
      <c r="Y638" s="4">
        <v>25000</v>
      </c>
      <c r="Z638" s="504">
        <v>25000</v>
      </c>
      <c r="AA638" s="549" t="s">
        <v>11</v>
      </c>
    </row>
    <row r="639" spans="1:46" s="2" customFormat="1" x14ac:dyDescent="0.25">
      <c r="A639" s="400" t="s">
        <v>964</v>
      </c>
      <c r="B639" s="26"/>
      <c r="C639" s="306"/>
      <c r="D639" s="14"/>
      <c r="E639" s="24" t="s">
        <v>12</v>
      </c>
      <c r="F639" s="24"/>
      <c r="G639" s="15" t="s">
        <v>801</v>
      </c>
      <c r="H639" s="15"/>
      <c r="I639" s="15"/>
      <c r="J639" s="17" t="s">
        <v>2</v>
      </c>
      <c r="K639" s="28">
        <v>114175</v>
      </c>
      <c r="L639" s="11">
        <v>14050</v>
      </c>
      <c r="M639" s="11">
        <v>12850</v>
      </c>
      <c r="N639" s="11">
        <f>6125+5525</f>
        <v>11650</v>
      </c>
      <c r="O639" s="11">
        <f>5525+5075</f>
        <v>10600</v>
      </c>
      <c r="P639" s="142">
        <f>5075+4625</f>
        <v>9700</v>
      </c>
      <c r="Q639" s="142">
        <f>4625+4250</f>
        <v>8875</v>
      </c>
      <c r="R639" s="142">
        <f>4250+3875</f>
        <v>8125</v>
      </c>
      <c r="S639" s="142">
        <f>3875+3375</f>
        <v>7250</v>
      </c>
      <c r="T639" s="142">
        <f>3375+2875</f>
        <v>6250</v>
      </c>
      <c r="U639" s="142">
        <f>2875+2406.25</f>
        <v>5281.25</v>
      </c>
      <c r="V639" s="142">
        <f>2406.25+1937.5</f>
        <v>4343.75</v>
      </c>
      <c r="W639" s="142">
        <f>1937.5+1468.75</f>
        <v>3406.25</v>
      </c>
      <c r="X639" s="142">
        <f>1468.75+1000</f>
        <v>2468.75</v>
      </c>
      <c r="Y639" s="142">
        <f>1000+500</f>
        <v>1500</v>
      </c>
      <c r="Z639" s="500">
        <v>500</v>
      </c>
      <c r="AA639" s="550" t="s">
        <v>11</v>
      </c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</row>
    <row r="640" spans="1:46" s="6" customFormat="1" ht="13.8" thickBot="1" x14ac:dyDescent="0.3">
      <c r="A640" s="409" t="s">
        <v>1116</v>
      </c>
      <c r="B640" s="120"/>
      <c r="C640" s="307"/>
      <c r="D640" s="87"/>
      <c r="E640" s="88" t="s">
        <v>14</v>
      </c>
      <c r="F640" s="88" t="s">
        <v>406</v>
      </c>
      <c r="G640" s="143" t="s">
        <v>841</v>
      </c>
      <c r="H640" s="150"/>
      <c r="I640" s="150"/>
      <c r="J640" s="41" t="s">
        <v>6</v>
      </c>
      <c r="K640" s="42">
        <f>K639+K638</f>
        <v>514175</v>
      </c>
      <c r="L640" s="43">
        <f>L639+L638</f>
        <v>44050</v>
      </c>
      <c r="M640" s="43">
        <f t="shared" ref="M640:Z640" si="465">M639+M638</f>
        <v>42850</v>
      </c>
      <c r="N640" s="43">
        <f t="shared" si="465"/>
        <v>41650</v>
      </c>
      <c r="O640" s="43">
        <f t="shared" si="465"/>
        <v>40600</v>
      </c>
      <c r="P640" s="43">
        <f t="shared" si="465"/>
        <v>39700</v>
      </c>
      <c r="Q640" s="43">
        <f t="shared" si="465"/>
        <v>33875</v>
      </c>
      <c r="R640" s="43">
        <f t="shared" si="465"/>
        <v>33125</v>
      </c>
      <c r="S640" s="43">
        <f t="shared" si="465"/>
        <v>32250</v>
      </c>
      <c r="T640" s="43">
        <f t="shared" si="465"/>
        <v>31250</v>
      </c>
      <c r="U640" s="43">
        <f t="shared" si="465"/>
        <v>30281.25</v>
      </c>
      <c r="V640" s="43">
        <f t="shared" si="465"/>
        <v>29343.75</v>
      </c>
      <c r="W640" s="43">
        <f t="shared" si="465"/>
        <v>28406.25</v>
      </c>
      <c r="X640" s="43">
        <f t="shared" si="465"/>
        <v>27468.75</v>
      </c>
      <c r="Y640" s="43">
        <f t="shared" si="465"/>
        <v>26500</v>
      </c>
      <c r="Z640" s="499">
        <f t="shared" si="465"/>
        <v>25500</v>
      </c>
      <c r="AA640" s="533" t="s">
        <v>11</v>
      </c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</row>
    <row r="641" spans="1:46" s="2" customFormat="1" x14ac:dyDescent="0.25">
      <c r="A641" s="26" t="s">
        <v>0</v>
      </c>
      <c r="B641" s="26" t="s">
        <v>96</v>
      </c>
      <c r="C641" s="306"/>
      <c r="D641" s="14" t="s">
        <v>0</v>
      </c>
      <c r="E641" s="24">
        <v>40527</v>
      </c>
      <c r="F641" s="24" t="s">
        <v>266</v>
      </c>
      <c r="G641" s="315" t="s">
        <v>293</v>
      </c>
      <c r="H641" s="315">
        <v>60316110</v>
      </c>
      <c r="I641" s="315">
        <v>583000</v>
      </c>
      <c r="J641" s="2" t="s">
        <v>1</v>
      </c>
      <c r="K641" s="27">
        <v>358744</v>
      </c>
      <c r="L641" s="4">
        <v>28744</v>
      </c>
      <c r="M641" s="4">
        <v>25000</v>
      </c>
      <c r="N641" s="4">
        <v>25000</v>
      </c>
      <c r="O641" s="4">
        <v>25000</v>
      </c>
      <c r="P641" s="4">
        <v>25000</v>
      </c>
      <c r="Q641" s="4">
        <v>25000</v>
      </c>
      <c r="R641" s="4">
        <v>25000</v>
      </c>
      <c r="S641" s="4">
        <v>25000</v>
      </c>
      <c r="T641" s="4">
        <v>25000</v>
      </c>
      <c r="U641" s="4">
        <v>25000</v>
      </c>
      <c r="V641" s="4">
        <v>25000</v>
      </c>
      <c r="W641" s="4">
        <v>20000</v>
      </c>
      <c r="X641" s="4">
        <v>20000</v>
      </c>
      <c r="Y641" s="4">
        <v>20000</v>
      </c>
      <c r="Z641" s="504">
        <v>20000</v>
      </c>
      <c r="AA641" s="60" t="s">
        <v>11</v>
      </c>
      <c r="AB641" s="4"/>
      <c r="AC641" s="4"/>
    </row>
    <row r="642" spans="1:46" s="2" customFormat="1" x14ac:dyDescent="0.25">
      <c r="A642" s="400" t="s">
        <v>965</v>
      </c>
      <c r="B642" s="26"/>
      <c r="C642" s="400" t="s">
        <v>1116</v>
      </c>
      <c r="D642" s="14"/>
      <c r="E642" s="24" t="s">
        <v>12</v>
      </c>
      <c r="F642" s="24"/>
      <c r="G642" s="15" t="s">
        <v>350</v>
      </c>
      <c r="H642" s="15"/>
      <c r="I642" s="15"/>
      <c r="J642" s="17" t="s">
        <v>2</v>
      </c>
      <c r="K642" s="28">
        <v>101287.26</v>
      </c>
      <c r="L642" s="11">
        <v>12549.88</v>
      </c>
      <c r="M642" s="11">
        <v>11475</v>
      </c>
      <c r="N642" s="11">
        <f>5487.5+4987.5</f>
        <v>10475</v>
      </c>
      <c r="O642" s="11">
        <f>4987.5+4612.5</f>
        <v>9600</v>
      </c>
      <c r="P642" s="11">
        <f>4612.5+4237.5</f>
        <v>8850</v>
      </c>
      <c r="Q642" s="11">
        <f>4237.5+3862.5</f>
        <v>8100</v>
      </c>
      <c r="R642" s="11">
        <f>3862.5+3487.5</f>
        <v>7350</v>
      </c>
      <c r="S642" s="11">
        <f>3487.5+2987.5</f>
        <v>6475</v>
      </c>
      <c r="T642" s="11">
        <f>2987.5+2487.5</f>
        <v>5475</v>
      </c>
      <c r="U642" s="11">
        <f>2487.5+2018.75</f>
        <v>4506.25</v>
      </c>
      <c r="V642" s="11">
        <f>2018.75+1550</f>
        <v>3568.75</v>
      </c>
      <c r="W642" s="11">
        <f>1550+1175</f>
        <v>2725</v>
      </c>
      <c r="X642" s="11">
        <f>1175+800</f>
        <v>1975</v>
      </c>
      <c r="Y642" s="11">
        <f>800+400</f>
        <v>1200</v>
      </c>
      <c r="Z642" s="505">
        <v>400</v>
      </c>
      <c r="AA642" s="532" t="s">
        <v>11</v>
      </c>
      <c r="AB642" s="11"/>
      <c r="AC642" s="11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</row>
    <row r="643" spans="1:46" s="6" customFormat="1" ht="13.8" thickBot="1" x14ac:dyDescent="0.3">
      <c r="A643" s="327" t="s">
        <v>621</v>
      </c>
      <c r="B643" s="328"/>
      <c r="C643" s="329"/>
      <c r="D643" s="87"/>
      <c r="E643" s="88" t="s">
        <v>14</v>
      </c>
      <c r="F643" s="88" t="s">
        <v>406</v>
      </c>
      <c r="G643" s="143" t="s">
        <v>708</v>
      </c>
      <c r="H643" s="143"/>
      <c r="I643" s="143"/>
      <c r="J643" s="41" t="s">
        <v>6</v>
      </c>
      <c r="K643" s="42">
        <f>K642+K641</f>
        <v>460031.26</v>
      </c>
      <c r="L643" s="43">
        <f>L642+L641</f>
        <v>41293.879999999997</v>
      </c>
      <c r="M643" s="43">
        <f t="shared" ref="M643:Z643" si="466">M642+M641</f>
        <v>36475</v>
      </c>
      <c r="N643" s="43">
        <f t="shared" si="466"/>
        <v>35475</v>
      </c>
      <c r="O643" s="43">
        <f t="shared" si="466"/>
        <v>34600</v>
      </c>
      <c r="P643" s="43">
        <f t="shared" si="466"/>
        <v>33850</v>
      </c>
      <c r="Q643" s="43">
        <f t="shared" si="466"/>
        <v>33100</v>
      </c>
      <c r="R643" s="43">
        <f t="shared" si="466"/>
        <v>32350</v>
      </c>
      <c r="S643" s="43">
        <f t="shared" si="466"/>
        <v>31475</v>
      </c>
      <c r="T643" s="43">
        <f t="shared" si="466"/>
        <v>30475</v>
      </c>
      <c r="U643" s="43">
        <f t="shared" si="466"/>
        <v>29506.25</v>
      </c>
      <c r="V643" s="43">
        <f t="shared" si="466"/>
        <v>28568.75</v>
      </c>
      <c r="W643" s="43">
        <f t="shared" si="466"/>
        <v>22725</v>
      </c>
      <c r="X643" s="43">
        <f t="shared" si="466"/>
        <v>21975</v>
      </c>
      <c r="Y643" s="43">
        <f t="shared" si="466"/>
        <v>21200</v>
      </c>
      <c r="Z643" s="499">
        <f t="shared" si="466"/>
        <v>20400</v>
      </c>
      <c r="AA643" s="533" t="s">
        <v>11</v>
      </c>
      <c r="AB643" s="43"/>
      <c r="AC643" s="43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</row>
    <row r="644" spans="1:46" s="2" customFormat="1" x14ac:dyDescent="0.25">
      <c r="A644" s="26" t="s">
        <v>0</v>
      </c>
      <c r="B644" s="26" t="s">
        <v>96</v>
      </c>
      <c r="C644" s="306"/>
      <c r="D644" s="14" t="s">
        <v>0</v>
      </c>
      <c r="E644" s="24">
        <v>40527</v>
      </c>
      <c r="F644" s="24" t="s">
        <v>345</v>
      </c>
      <c r="G644" s="315" t="s">
        <v>431</v>
      </c>
      <c r="H644" s="315">
        <v>60312240</v>
      </c>
      <c r="I644" s="315">
        <v>583002</v>
      </c>
      <c r="J644" s="2" t="s">
        <v>1</v>
      </c>
      <c r="K644" s="27">
        <v>1730000</v>
      </c>
      <c r="L644" s="4">
        <v>120000</v>
      </c>
      <c r="M644" s="4">
        <v>115000</v>
      </c>
      <c r="N644" s="4">
        <v>115000</v>
      </c>
      <c r="O644" s="4">
        <v>115000</v>
      </c>
      <c r="P644" s="4">
        <v>115000</v>
      </c>
      <c r="Q644" s="4">
        <v>115000</v>
      </c>
      <c r="R644" s="4">
        <v>115000</v>
      </c>
      <c r="S644" s="4">
        <v>115000</v>
      </c>
      <c r="T644" s="4">
        <v>115000</v>
      </c>
      <c r="U644" s="4">
        <v>115000</v>
      </c>
      <c r="V644" s="4">
        <v>115000</v>
      </c>
      <c r="W644" s="4">
        <v>115000</v>
      </c>
      <c r="X644" s="4">
        <v>115000</v>
      </c>
      <c r="Y644" s="4">
        <v>115000</v>
      </c>
      <c r="Z644" s="504">
        <v>115000</v>
      </c>
      <c r="AA644" s="60" t="s">
        <v>11</v>
      </c>
    </row>
    <row r="645" spans="1:46" s="2" customFormat="1" x14ac:dyDescent="0.25">
      <c r="A645" s="400" t="s">
        <v>966</v>
      </c>
      <c r="B645" s="26"/>
      <c r="C645" s="400" t="s">
        <v>1116</v>
      </c>
      <c r="D645" s="14"/>
      <c r="E645" s="24" t="s">
        <v>12</v>
      </c>
      <c r="F645" s="24"/>
      <c r="G645" s="15" t="s">
        <v>176</v>
      </c>
      <c r="H645" s="15"/>
      <c r="I645" s="15"/>
      <c r="J645" s="17" t="s">
        <v>2</v>
      </c>
      <c r="K645" s="28">
        <v>513675</v>
      </c>
      <c r="L645" s="11">
        <v>61050</v>
      </c>
      <c r="M645" s="11">
        <v>56350</v>
      </c>
      <c r="N645" s="11">
        <f>27025+24725</f>
        <v>51750</v>
      </c>
      <c r="O645" s="11">
        <f>24725+23000</f>
        <v>47725</v>
      </c>
      <c r="P645" s="11">
        <f>23000+21275</f>
        <v>44275</v>
      </c>
      <c r="Q645" s="11">
        <f>21275+19550</f>
        <v>40825</v>
      </c>
      <c r="R645" s="11">
        <f>19550+17825</f>
        <v>37375</v>
      </c>
      <c r="S645" s="11">
        <f>17825+15525</f>
        <v>33350</v>
      </c>
      <c r="T645" s="11">
        <f>15525+13225</f>
        <v>28750</v>
      </c>
      <c r="U645" s="11">
        <f>13225+11068.75</f>
        <v>24293.75</v>
      </c>
      <c r="V645" s="11">
        <f>11068.75+8912.5</f>
        <v>19981.25</v>
      </c>
      <c r="W645" s="11">
        <f>8912.5+6756.25</f>
        <v>15668.75</v>
      </c>
      <c r="X645" s="11">
        <f>6756.25+4600</f>
        <v>11356.25</v>
      </c>
      <c r="Y645" s="11">
        <f>4600+2300</f>
        <v>6900</v>
      </c>
      <c r="Z645" s="505">
        <v>2300</v>
      </c>
      <c r="AA645" s="532" t="s">
        <v>11</v>
      </c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</row>
    <row r="646" spans="1:46" s="6" customFormat="1" ht="13.8" thickBot="1" x14ac:dyDescent="0.3">
      <c r="A646" s="327" t="s">
        <v>621</v>
      </c>
      <c r="B646" s="328"/>
      <c r="C646" s="329"/>
      <c r="D646" s="87"/>
      <c r="E646" s="88" t="s">
        <v>14</v>
      </c>
      <c r="F646" s="88" t="s">
        <v>406</v>
      </c>
      <c r="G646" s="126"/>
      <c r="H646" s="126"/>
      <c r="I646" s="126"/>
      <c r="J646" s="41" t="s">
        <v>6</v>
      </c>
      <c r="K646" s="42">
        <f>K645+K644</f>
        <v>2243675</v>
      </c>
      <c r="L646" s="43">
        <f>L645+L644</f>
        <v>181050</v>
      </c>
      <c r="M646" s="43">
        <f t="shared" ref="M646:Z646" si="467">M645+M644</f>
        <v>171350</v>
      </c>
      <c r="N646" s="43">
        <f t="shared" si="467"/>
        <v>166750</v>
      </c>
      <c r="O646" s="43">
        <f t="shared" si="467"/>
        <v>162725</v>
      </c>
      <c r="P646" s="43">
        <f t="shared" si="467"/>
        <v>159275</v>
      </c>
      <c r="Q646" s="43">
        <f t="shared" si="467"/>
        <v>155825</v>
      </c>
      <c r="R646" s="43">
        <f t="shared" si="467"/>
        <v>152375</v>
      </c>
      <c r="S646" s="43">
        <f t="shared" si="467"/>
        <v>148350</v>
      </c>
      <c r="T646" s="43">
        <f t="shared" si="467"/>
        <v>143750</v>
      </c>
      <c r="U646" s="43">
        <f t="shared" si="467"/>
        <v>139293.75</v>
      </c>
      <c r="V646" s="43">
        <f t="shared" si="467"/>
        <v>134981.25</v>
      </c>
      <c r="W646" s="43">
        <f t="shared" si="467"/>
        <v>130668.75</v>
      </c>
      <c r="X646" s="43">
        <f t="shared" si="467"/>
        <v>126356.25</v>
      </c>
      <c r="Y646" s="43">
        <f t="shared" si="467"/>
        <v>121900</v>
      </c>
      <c r="Z646" s="499">
        <f t="shared" si="467"/>
        <v>117300</v>
      </c>
      <c r="AA646" s="533" t="s">
        <v>11</v>
      </c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</row>
    <row r="647" spans="1:46" s="2" customFormat="1" x14ac:dyDescent="0.25">
      <c r="A647" s="26" t="s">
        <v>0</v>
      </c>
      <c r="B647" s="26" t="s">
        <v>96</v>
      </c>
      <c r="C647" s="306"/>
      <c r="D647" s="14" t="s">
        <v>0</v>
      </c>
      <c r="E647" s="24">
        <v>40527</v>
      </c>
      <c r="F647" s="24" t="s">
        <v>266</v>
      </c>
      <c r="G647" s="315" t="s">
        <v>432</v>
      </c>
      <c r="H647" s="315">
        <v>60311230</v>
      </c>
      <c r="I647" s="315">
        <v>584014</v>
      </c>
      <c r="J647" s="2" t="s">
        <v>1</v>
      </c>
      <c r="K647" s="27">
        <v>400000</v>
      </c>
      <c r="L647" s="4">
        <v>30000</v>
      </c>
      <c r="M647" s="4">
        <v>30000</v>
      </c>
      <c r="N647" s="4">
        <v>30000</v>
      </c>
      <c r="O647" s="4">
        <v>30000</v>
      </c>
      <c r="P647" s="4">
        <v>30000</v>
      </c>
      <c r="Q647" s="4">
        <v>25000</v>
      </c>
      <c r="R647" s="4">
        <v>25000</v>
      </c>
      <c r="S647" s="4">
        <v>25000</v>
      </c>
      <c r="T647" s="4">
        <v>25000</v>
      </c>
      <c r="U647" s="4">
        <v>25000</v>
      </c>
      <c r="V647" s="4">
        <v>25000</v>
      </c>
      <c r="W647" s="4">
        <v>25000</v>
      </c>
      <c r="X647" s="4">
        <v>25000</v>
      </c>
      <c r="Y647" s="4">
        <v>25000</v>
      </c>
      <c r="Z647" s="504">
        <v>25000</v>
      </c>
      <c r="AA647" s="60" t="s">
        <v>11</v>
      </c>
    </row>
    <row r="648" spans="1:46" s="2" customFormat="1" x14ac:dyDescent="0.25">
      <c r="A648" s="400" t="s">
        <v>967</v>
      </c>
      <c r="B648" s="26"/>
      <c r="C648" s="400" t="s">
        <v>1116</v>
      </c>
      <c r="D648" s="14"/>
      <c r="E648" s="24" t="s">
        <v>12</v>
      </c>
      <c r="F648" s="24"/>
      <c r="G648" s="15" t="s">
        <v>842</v>
      </c>
      <c r="H648" s="15"/>
      <c r="I648" s="15"/>
      <c r="J648" s="17" t="s">
        <v>2</v>
      </c>
      <c r="K648" s="28">
        <v>114175</v>
      </c>
      <c r="L648" s="11">
        <v>14050</v>
      </c>
      <c r="M648" s="11">
        <v>12850</v>
      </c>
      <c r="N648" s="11">
        <f>6125+5525</f>
        <v>11650</v>
      </c>
      <c r="O648" s="11">
        <f>5525+5075</f>
        <v>10600</v>
      </c>
      <c r="P648" s="142">
        <f>5075+4625</f>
        <v>9700</v>
      </c>
      <c r="Q648" s="142">
        <f>4625+4250</f>
        <v>8875</v>
      </c>
      <c r="R648" s="142">
        <f>4250+3875</f>
        <v>8125</v>
      </c>
      <c r="S648" s="142">
        <f>3875+3375</f>
        <v>7250</v>
      </c>
      <c r="T648" s="142">
        <f>3375+2875</f>
        <v>6250</v>
      </c>
      <c r="U648" s="142">
        <f>2875+2406.25</f>
        <v>5281.25</v>
      </c>
      <c r="V648" s="142">
        <f>2406.25+1937.5</f>
        <v>4343.75</v>
      </c>
      <c r="W648" s="142">
        <f>1937.5+1468.75</f>
        <v>3406.25</v>
      </c>
      <c r="X648" s="142">
        <f>1468.75+1000</f>
        <v>2468.75</v>
      </c>
      <c r="Y648" s="142">
        <f>1000+500</f>
        <v>1500</v>
      </c>
      <c r="Z648" s="500">
        <v>500</v>
      </c>
      <c r="AA648" s="532" t="s">
        <v>11</v>
      </c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</row>
    <row r="649" spans="1:46" s="6" customFormat="1" ht="13.8" thickBot="1" x14ac:dyDescent="0.3">
      <c r="A649" s="327" t="s">
        <v>621</v>
      </c>
      <c r="B649" s="328"/>
      <c r="C649" s="329"/>
      <c r="D649" s="87"/>
      <c r="E649" s="88" t="s">
        <v>14</v>
      </c>
      <c r="F649" s="88" t="s">
        <v>406</v>
      </c>
      <c r="G649" s="143" t="s">
        <v>843</v>
      </c>
      <c r="H649" s="143"/>
      <c r="I649" s="143"/>
      <c r="J649" s="41" t="s">
        <v>6</v>
      </c>
      <c r="K649" s="42">
        <f>K648+K647</f>
        <v>514175</v>
      </c>
      <c r="L649" s="43">
        <f>L648+L647</f>
        <v>44050</v>
      </c>
      <c r="M649" s="43">
        <f t="shared" ref="M649:Z649" si="468">M648+M647</f>
        <v>42850</v>
      </c>
      <c r="N649" s="43">
        <f t="shared" si="468"/>
        <v>41650</v>
      </c>
      <c r="O649" s="43">
        <f t="shared" si="468"/>
        <v>40600</v>
      </c>
      <c r="P649" s="43">
        <f t="shared" si="468"/>
        <v>39700</v>
      </c>
      <c r="Q649" s="43">
        <f t="shared" si="468"/>
        <v>33875</v>
      </c>
      <c r="R649" s="43">
        <f t="shared" si="468"/>
        <v>33125</v>
      </c>
      <c r="S649" s="43">
        <f t="shared" si="468"/>
        <v>32250</v>
      </c>
      <c r="T649" s="43">
        <f t="shared" si="468"/>
        <v>31250</v>
      </c>
      <c r="U649" s="43">
        <f t="shared" si="468"/>
        <v>30281.25</v>
      </c>
      <c r="V649" s="43">
        <f t="shared" si="468"/>
        <v>29343.75</v>
      </c>
      <c r="W649" s="43">
        <f t="shared" si="468"/>
        <v>28406.25</v>
      </c>
      <c r="X649" s="43">
        <f t="shared" si="468"/>
        <v>27468.75</v>
      </c>
      <c r="Y649" s="43">
        <f t="shared" si="468"/>
        <v>26500</v>
      </c>
      <c r="Z649" s="499">
        <f t="shared" si="468"/>
        <v>25500</v>
      </c>
      <c r="AA649" s="533" t="s">
        <v>11</v>
      </c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</row>
    <row r="650" spans="1:46" s="2" customFormat="1" x14ac:dyDescent="0.25">
      <c r="A650" s="26"/>
      <c r="B650" s="26"/>
      <c r="C650" s="306"/>
      <c r="D650" s="14"/>
      <c r="E650" s="24"/>
      <c r="F650" s="24"/>
      <c r="G650" s="13" t="s">
        <v>33</v>
      </c>
      <c r="H650" s="13">
        <v>60773119</v>
      </c>
      <c r="I650" s="13">
        <v>591100</v>
      </c>
      <c r="J650" s="14" t="s">
        <v>1</v>
      </c>
      <c r="K650" s="29">
        <f t="shared" ref="K650:M651" si="469">K647+K644+K641+K638+K635</f>
        <v>3147621</v>
      </c>
      <c r="L650" s="7">
        <f t="shared" si="469"/>
        <v>232621</v>
      </c>
      <c r="M650" s="7">
        <f t="shared" si="469"/>
        <v>220000</v>
      </c>
      <c r="N650" s="7">
        <f t="shared" ref="N650:Z650" si="470">N647+N644+N641+N638+N635</f>
        <v>220000</v>
      </c>
      <c r="O650" s="7">
        <f t="shared" si="470"/>
        <v>220000</v>
      </c>
      <c r="P650" s="7">
        <f t="shared" si="470"/>
        <v>220000</v>
      </c>
      <c r="Q650" s="7">
        <f t="shared" si="470"/>
        <v>210000</v>
      </c>
      <c r="R650" s="7">
        <f t="shared" si="470"/>
        <v>205000</v>
      </c>
      <c r="S650" s="7">
        <f t="shared" si="470"/>
        <v>205000</v>
      </c>
      <c r="T650" s="7">
        <f t="shared" si="470"/>
        <v>205000</v>
      </c>
      <c r="U650" s="7">
        <f t="shared" si="470"/>
        <v>205000</v>
      </c>
      <c r="V650" s="7">
        <f t="shared" si="470"/>
        <v>205000</v>
      </c>
      <c r="W650" s="7">
        <f t="shared" si="470"/>
        <v>200000</v>
      </c>
      <c r="X650" s="7">
        <f t="shared" si="470"/>
        <v>200000</v>
      </c>
      <c r="Y650" s="7">
        <f t="shared" si="470"/>
        <v>200000</v>
      </c>
      <c r="Z650" s="501">
        <f t="shared" si="470"/>
        <v>200000</v>
      </c>
      <c r="AA650" s="58" t="s">
        <v>11</v>
      </c>
      <c r="AB650" s="7"/>
      <c r="AC650" s="7"/>
      <c r="AD650" s="40"/>
    </row>
    <row r="651" spans="1:46" s="2" customFormat="1" x14ac:dyDescent="0.25">
      <c r="A651" s="26"/>
      <c r="B651" s="26"/>
      <c r="C651" s="306"/>
      <c r="D651" s="14"/>
      <c r="E651" s="24"/>
      <c r="F651" s="24"/>
      <c r="G651" s="15"/>
      <c r="H651" s="13">
        <v>60773119</v>
      </c>
      <c r="I651" s="153">
        <v>595100</v>
      </c>
      <c r="J651" s="18" t="s">
        <v>2</v>
      </c>
      <c r="K651" s="30">
        <f t="shared" si="469"/>
        <v>913892.34</v>
      </c>
      <c r="L651" s="16">
        <f t="shared" si="469"/>
        <v>110677.42000000001</v>
      </c>
      <c r="M651" s="16">
        <f t="shared" si="469"/>
        <v>101625</v>
      </c>
      <c r="N651" s="16">
        <f t="shared" ref="N651:Z651" si="471">N648+N645+N642+N639+N636</f>
        <v>92825</v>
      </c>
      <c r="O651" s="16">
        <f t="shared" si="471"/>
        <v>85125</v>
      </c>
      <c r="P651" s="16">
        <f t="shared" si="471"/>
        <v>78525</v>
      </c>
      <c r="Q651" s="16">
        <f t="shared" si="471"/>
        <v>72075</v>
      </c>
      <c r="R651" s="16">
        <f t="shared" si="471"/>
        <v>65850</v>
      </c>
      <c r="S651" s="16">
        <f t="shared" si="471"/>
        <v>58675</v>
      </c>
      <c r="T651" s="16">
        <f t="shared" si="471"/>
        <v>50475</v>
      </c>
      <c r="U651" s="16">
        <f t="shared" si="471"/>
        <v>42531.25</v>
      </c>
      <c r="V651" s="16">
        <f t="shared" si="471"/>
        <v>34843.75</v>
      </c>
      <c r="W651" s="16">
        <f t="shared" si="471"/>
        <v>27250</v>
      </c>
      <c r="X651" s="16">
        <f t="shared" si="471"/>
        <v>19750</v>
      </c>
      <c r="Y651" s="16">
        <f t="shared" si="471"/>
        <v>12000</v>
      </c>
      <c r="Z651" s="502">
        <f t="shared" si="471"/>
        <v>4000</v>
      </c>
      <c r="AA651" s="63" t="s">
        <v>11</v>
      </c>
      <c r="AB651" s="16"/>
      <c r="AC651" s="16"/>
      <c r="AD651" s="56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</row>
    <row r="652" spans="1:46" s="8" customFormat="1" ht="13.8" thickBot="1" x14ac:dyDescent="0.3">
      <c r="A652" s="122"/>
      <c r="B652" s="122"/>
      <c r="C652" s="307"/>
      <c r="D652" s="87"/>
      <c r="E652" s="87"/>
      <c r="F652" s="87"/>
      <c r="G652" s="87"/>
      <c r="H652" s="87"/>
      <c r="I652" s="87"/>
      <c r="J652" s="50" t="s">
        <v>5</v>
      </c>
      <c r="K652" s="51">
        <f>K651+K650</f>
        <v>4061513.34</v>
      </c>
      <c r="L652" s="46">
        <f>L651+L650</f>
        <v>343298.42000000004</v>
      </c>
      <c r="M652" s="46">
        <f t="shared" ref="M652:Z652" si="472">M651+M650</f>
        <v>321625</v>
      </c>
      <c r="N652" s="46">
        <f t="shared" si="472"/>
        <v>312825</v>
      </c>
      <c r="O652" s="46">
        <f t="shared" si="472"/>
        <v>305125</v>
      </c>
      <c r="P652" s="46">
        <f t="shared" si="472"/>
        <v>298525</v>
      </c>
      <c r="Q652" s="46">
        <f t="shared" si="472"/>
        <v>282075</v>
      </c>
      <c r="R652" s="46">
        <f t="shared" si="472"/>
        <v>270850</v>
      </c>
      <c r="S652" s="46">
        <f t="shared" si="472"/>
        <v>263675</v>
      </c>
      <c r="T652" s="46">
        <f t="shared" si="472"/>
        <v>255475</v>
      </c>
      <c r="U652" s="46">
        <f t="shared" si="472"/>
        <v>247531.25</v>
      </c>
      <c r="V652" s="46">
        <f t="shared" si="472"/>
        <v>239843.75</v>
      </c>
      <c r="W652" s="46">
        <f t="shared" si="472"/>
        <v>227250</v>
      </c>
      <c r="X652" s="46">
        <f t="shared" si="472"/>
        <v>219750</v>
      </c>
      <c r="Y652" s="46">
        <f t="shared" si="472"/>
        <v>212000</v>
      </c>
      <c r="Z652" s="503">
        <f t="shared" si="472"/>
        <v>204000</v>
      </c>
      <c r="AA652" s="65" t="s">
        <v>11</v>
      </c>
      <c r="AB652" s="46"/>
      <c r="AC652" s="46"/>
      <c r="AD652" s="47"/>
      <c r="AE652" s="47"/>
      <c r="AF652" s="47"/>
      <c r="AG652" s="47"/>
      <c r="AH652" s="47"/>
      <c r="AI652" s="47"/>
      <c r="AJ652" s="47"/>
      <c r="AK652" s="47"/>
      <c r="AL652" s="47"/>
      <c r="AM652" s="47"/>
      <c r="AN652" s="47"/>
      <c r="AO652" s="47"/>
      <c r="AP652" s="47"/>
      <c r="AQ652" s="47"/>
      <c r="AR652" s="47"/>
      <c r="AS652" s="47"/>
      <c r="AT652" s="47"/>
    </row>
    <row r="653" spans="1:46" s="6" customFormat="1" x14ac:dyDescent="0.25">
      <c r="A653" s="26" t="s">
        <v>4</v>
      </c>
      <c r="B653" s="26" t="s">
        <v>97</v>
      </c>
      <c r="C653" s="306"/>
      <c r="D653" s="10" t="s">
        <v>4</v>
      </c>
      <c r="E653" s="25">
        <v>40527</v>
      </c>
      <c r="F653" s="25" t="s">
        <v>267</v>
      </c>
      <c r="G653" s="316" t="s">
        <v>26</v>
      </c>
      <c r="H653" s="316"/>
      <c r="I653" s="316"/>
      <c r="J653" s="2" t="s">
        <v>1</v>
      </c>
      <c r="K653" s="27">
        <v>168815</v>
      </c>
      <c r="L653" s="4">
        <v>18815</v>
      </c>
      <c r="M653" s="4">
        <v>15000</v>
      </c>
      <c r="N653" s="4">
        <v>15000</v>
      </c>
      <c r="O653" s="4">
        <v>10000</v>
      </c>
      <c r="P653" s="4">
        <v>10000</v>
      </c>
      <c r="Q653" s="4">
        <v>10000</v>
      </c>
      <c r="R653" s="4">
        <v>10000</v>
      </c>
      <c r="S653" s="4">
        <v>10000</v>
      </c>
      <c r="T653" s="4">
        <v>10000</v>
      </c>
      <c r="U653" s="4">
        <v>10000</v>
      </c>
      <c r="V653" s="4">
        <v>10000</v>
      </c>
      <c r="W653" s="4">
        <v>10000</v>
      </c>
      <c r="X653" s="4">
        <v>10000</v>
      </c>
      <c r="Y653" s="4">
        <v>10000</v>
      </c>
      <c r="Z653" s="504">
        <v>10000</v>
      </c>
      <c r="AA653" s="60" t="s">
        <v>11</v>
      </c>
      <c r="AB653" s="4"/>
      <c r="AC653" s="4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1:46" s="6" customFormat="1" x14ac:dyDescent="0.25">
      <c r="A654" s="400" t="s">
        <v>968</v>
      </c>
      <c r="B654" s="26"/>
      <c r="C654" s="306"/>
      <c r="D654" s="84"/>
      <c r="E654" s="317" t="s">
        <v>13</v>
      </c>
      <c r="F654" s="25"/>
      <c r="G654" s="12" t="s">
        <v>353</v>
      </c>
      <c r="H654" s="12"/>
      <c r="I654" s="12"/>
      <c r="J654" s="17" t="s">
        <v>2</v>
      </c>
      <c r="K654" s="28">
        <v>46002.6</v>
      </c>
      <c r="L654" s="11">
        <v>5876.3</v>
      </c>
      <c r="M654" s="11">
        <v>5200</v>
      </c>
      <c r="N654" s="11">
        <f>2450+2150</f>
        <v>4600</v>
      </c>
      <c r="O654" s="11">
        <f>2150+2000</f>
        <v>4150</v>
      </c>
      <c r="P654" s="142">
        <f>2000+1850</f>
        <v>3850</v>
      </c>
      <c r="Q654" s="142">
        <f>1850+1700</f>
        <v>3550</v>
      </c>
      <c r="R654" s="142">
        <f>1700+1550</f>
        <v>3250</v>
      </c>
      <c r="S654" s="142">
        <f>1550+1350</f>
        <v>2900</v>
      </c>
      <c r="T654" s="142">
        <f>1350+1150</f>
        <v>2500</v>
      </c>
      <c r="U654" s="11">
        <f>1150+962.5</f>
        <v>2112.5</v>
      </c>
      <c r="V654" s="11">
        <f>962.5+775</f>
        <v>1737.5</v>
      </c>
      <c r="W654" s="11">
        <f>775+587.5</f>
        <v>1362.5</v>
      </c>
      <c r="X654" s="11">
        <f>587.5+400</f>
        <v>987.5</v>
      </c>
      <c r="Y654" s="11">
        <f>400+200</f>
        <v>600</v>
      </c>
      <c r="Z654" s="505">
        <v>200</v>
      </c>
      <c r="AA654" s="532" t="s">
        <v>11</v>
      </c>
      <c r="AB654" s="11"/>
      <c r="AC654" s="11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</row>
    <row r="655" spans="1:46" s="6" customFormat="1" ht="13.8" thickBot="1" x14ac:dyDescent="0.3">
      <c r="A655" s="409" t="s">
        <v>1116</v>
      </c>
      <c r="B655" s="120"/>
      <c r="C655" s="307"/>
      <c r="D655" s="89"/>
      <c r="E655" s="90" t="s">
        <v>16</v>
      </c>
      <c r="F655" s="90" t="s">
        <v>407</v>
      </c>
      <c r="G655" s="124" t="s">
        <v>305</v>
      </c>
      <c r="H655" s="124"/>
      <c r="I655" s="124"/>
      <c r="J655" s="41" t="s">
        <v>6</v>
      </c>
      <c r="K655" s="42">
        <f>K654+K653</f>
        <v>214817.6</v>
      </c>
      <c r="L655" s="43">
        <f>L654+L653</f>
        <v>24691.3</v>
      </c>
      <c r="M655" s="43">
        <f t="shared" ref="M655:N655" si="473">M654+M653</f>
        <v>20200</v>
      </c>
      <c r="N655" s="43">
        <f t="shared" si="473"/>
        <v>19600</v>
      </c>
      <c r="O655" s="43">
        <f>O654+O653</f>
        <v>14150</v>
      </c>
      <c r="P655" s="43">
        <f>P654+P653</f>
        <v>13850</v>
      </c>
      <c r="Q655" s="43">
        <f>Q654+Q653</f>
        <v>13550</v>
      </c>
      <c r="R655" s="43">
        <f t="shared" ref="R655:Z655" si="474">R654+R653</f>
        <v>13250</v>
      </c>
      <c r="S655" s="43">
        <f t="shared" si="474"/>
        <v>12900</v>
      </c>
      <c r="T655" s="43">
        <f t="shared" si="474"/>
        <v>12500</v>
      </c>
      <c r="U655" s="43">
        <f t="shared" si="474"/>
        <v>12112.5</v>
      </c>
      <c r="V655" s="43">
        <f t="shared" si="474"/>
        <v>11737.5</v>
      </c>
      <c r="W655" s="43">
        <f t="shared" si="474"/>
        <v>11362.5</v>
      </c>
      <c r="X655" s="43">
        <f t="shared" si="474"/>
        <v>10987.5</v>
      </c>
      <c r="Y655" s="43">
        <f t="shared" si="474"/>
        <v>10600</v>
      </c>
      <c r="Z655" s="499">
        <f t="shared" si="474"/>
        <v>10200</v>
      </c>
      <c r="AA655" s="533" t="s">
        <v>11</v>
      </c>
      <c r="AB655" s="43"/>
      <c r="AC655" s="43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</row>
    <row r="656" spans="1:46" s="6" customFormat="1" x14ac:dyDescent="0.25">
      <c r="A656" s="26" t="s">
        <v>4</v>
      </c>
      <c r="B656" s="26" t="s">
        <v>97</v>
      </c>
      <c r="C656" s="306"/>
      <c r="D656" s="10" t="s">
        <v>4</v>
      </c>
      <c r="E656" s="25">
        <v>40527</v>
      </c>
      <c r="F656" s="25" t="s">
        <v>267</v>
      </c>
      <c r="G656" s="316" t="s">
        <v>26</v>
      </c>
      <c r="H656" s="316">
        <v>61310220</v>
      </c>
      <c r="I656" s="316">
        <v>586100</v>
      </c>
      <c r="J656" s="2" t="s">
        <v>1</v>
      </c>
      <c r="K656" s="27">
        <v>337500</v>
      </c>
      <c r="L656" s="4">
        <v>27500</v>
      </c>
      <c r="M656" s="4">
        <v>25000</v>
      </c>
      <c r="N656" s="4">
        <v>25000</v>
      </c>
      <c r="O656" s="4">
        <v>25000</v>
      </c>
      <c r="P656" s="4">
        <v>25000</v>
      </c>
      <c r="Q656" s="4">
        <v>25000</v>
      </c>
      <c r="R656" s="4">
        <v>25000</v>
      </c>
      <c r="S656" s="4">
        <v>20000</v>
      </c>
      <c r="T656" s="4">
        <v>20000</v>
      </c>
      <c r="U656" s="4">
        <v>20000</v>
      </c>
      <c r="V656" s="4">
        <v>20000</v>
      </c>
      <c r="W656" s="4">
        <v>20000</v>
      </c>
      <c r="X656" s="4">
        <v>20000</v>
      </c>
      <c r="Y656" s="4">
        <v>20000</v>
      </c>
      <c r="Z656" s="504">
        <v>20000</v>
      </c>
      <c r="AA656" s="60" t="s">
        <v>11</v>
      </c>
      <c r="AB656" s="4"/>
      <c r="AC656" s="4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1:46" s="6" customFormat="1" x14ac:dyDescent="0.25">
      <c r="A657" s="400" t="s">
        <v>969</v>
      </c>
      <c r="B657" s="26"/>
      <c r="C657" s="306"/>
      <c r="D657" s="84"/>
      <c r="E657" s="317" t="s">
        <v>13</v>
      </c>
      <c r="F657" s="25"/>
      <c r="G657" s="12" t="s">
        <v>148</v>
      </c>
      <c r="H657" s="12"/>
      <c r="I657" s="12"/>
      <c r="J657" s="17" t="s">
        <v>2</v>
      </c>
      <c r="K657" s="28">
        <v>93900</v>
      </c>
      <c r="L657" s="11">
        <v>11750</v>
      </c>
      <c r="M657" s="11">
        <v>10700</v>
      </c>
      <c r="N657" s="11">
        <f>5100+4600</f>
        <v>9700</v>
      </c>
      <c r="O657" s="11">
        <f>4600+4225</f>
        <v>8825</v>
      </c>
      <c r="P657" s="142">
        <f>4225+3850</f>
        <v>8075</v>
      </c>
      <c r="Q657" s="142">
        <f>3850+3475</f>
        <v>7325</v>
      </c>
      <c r="R657" s="142">
        <f>3475+3100</f>
        <v>6575</v>
      </c>
      <c r="S657" s="142">
        <f>3100+2700</f>
        <v>5800</v>
      </c>
      <c r="T657" s="142">
        <f>2700+2300</f>
        <v>5000</v>
      </c>
      <c r="U657" s="11">
        <f>2300+1925</f>
        <v>4225</v>
      </c>
      <c r="V657" s="11">
        <f>1925+1550</f>
        <v>3475</v>
      </c>
      <c r="W657" s="11">
        <f>1550+1175</f>
        <v>2725</v>
      </c>
      <c r="X657" s="11">
        <f>1175+800</f>
        <v>1975</v>
      </c>
      <c r="Y657" s="11">
        <f>800+400</f>
        <v>1200</v>
      </c>
      <c r="Z657" s="505">
        <v>400</v>
      </c>
      <c r="AA657" s="532" t="s">
        <v>11</v>
      </c>
      <c r="AB657" s="11"/>
      <c r="AC657" s="11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</row>
    <row r="658" spans="1:46" s="6" customFormat="1" ht="13.8" thickBot="1" x14ac:dyDescent="0.3">
      <c r="A658" s="409" t="s">
        <v>1116</v>
      </c>
      <c r="B658" s="120"/>
      <c r="C658" s="307"/>
      <c r="D658" s="89"/>
      <c r="E658" s="90" t="s">
        <v>16</v>
      </c>
      <c r="F658" s="90" t="s">
        <v>407</v>
      </c>
      <c r="G658" s="124"/>
      <c r="H658" s="124"/>
      <c r="I658" s="124"/>
      <c r="J658" s="41" t="s">
        <v>6</v>
      </c>
      <c r="K658" s="42">
        <f>K657+K656</f>
        <v>431400</v>
      </c>
      <c r="L658" s="43">
        <f>L657+L656</f>
        <v>39250</v>
      </c>
      <c r="M658" s="43">
        <f t="shared" ref="M658:N658" si="475">M657+M656</f>
        <v>35700</v>
      </c>
      <c r="N658" s="43">
        <f t="shared" si="475"/>
        <v>34700</v>
      </c>
      <c r="O658" s="43">
        <f>O657+O656</f>
        <v>33825</v>
      </c>
      <c r="P658" s="43">
        <f>P657+P656</f>
        <v>33075</v>
      </c>
      <c r="Q658" s="43">
        <f>Q657+Q656</f>
        <v>32325</v>
      </c>
      <c r="R658" s="43">
        <f t="shared" ref="R658:Z658" si="476">R657+R656</f>
        <v>31575</v>
      </c>
      <c r="S658" s="43">
        <f t="shared" si="476"/>
        <v>25800</v>
      </c>
      <c r="T658" s="43">
        <f t="shared" si="476"/>
        <v>25000</v>
      </c>
      <c r="U658" s="43">
        <f t="shared" si="476"/>
        <v>24225</v>
      </c>
      <c r="V658" s="43">
        <f t="shared" si="476"/>
        <v>23475</v>
      </c>
      <c r="W658" s="43">
        <f t="shared" si="476"/>
        <v>22725</v>
      </c>
      <c r="X658" s="43">
        <f t="shared" si="476"/>
        <v>21975</v>
      </c>
      <c r="Y658" s="43">
        <f t="shared" si="476"/>
        <v>21200</v>
      </c>
      <c r="Z658" s="499">
        <f t="shared" si="476"/>
        <v>20400</v>
      </c>
      <c r="AA658" s="533" t="s">
        <v>11</v>
      </c>
      <c r="AB658" s="43"/>
      <c r="AC658" s="43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</row>
    <row r="659" spans="1:46" s="6" customFormat="1" x14ac:dyDescent="0.25">
      <c r="A659" s="26" t="s">
        <v>4</v>
      </c>
      <c r="B659" s="26" t="s">
        <v>97</v>
      </c>
      <c r="C659" s="306"/>
      <c r="D659" s="10" t="s">
        <v>4</v>
      </c>
      <c r="E659" s="25">
        <v>40527</v>
      </c>
      <c r="F659" s="25" t="s">
        <v>354</v>
      </c>
      <c r="G659" s="12" t="s">
        <v>149</v>
      </c>
      <c r="H659" s="12">
        <v>61310220</v>
      </c>
      <c r="I659" s="12">
        <v>584018</v>
      </c>
      <c r="J659" s="2" t="s">
        <v>1</v>
      </c>
      <c r="K659" s="27">
        <v>80000</v>
      </c>
      <c r="L659" s="4">
        <v>10000</v>
      </c>
      <c r="M659" s="4">
        <v>10000</v>
      </c>
      <c r="N659" s="4">
        <v>10000</v>
      </c>
      <c r="O659" s="4">
        <v>10000</v>
      </c>
      <c r="P659" s="4">
        <v>10000</v>
      </c>
      <c r="Q659" s="4">
        <v>10000</v>
      </c>
      <c r="R659" s="4">
        <v>10000</v>
      </c>
      <c r="S659" s="4">
        <v>10000</v>
      </c>
      <c r="T659" s="2" t="s">
        <v>11</v>
      </c>
      <c r="U659" s="4"/>
      <c r="V659" s="4"/>
      <c r="W659" s="4"/>
      <c r="X659" s="4"/>
      <c r="Y659" s="4"/>
      <c r="Z659" s="504"/>
      <c r="AA659" s="543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1:46" s="6" customFormat="1" x14ac:dyDescent="0.25">
      <c r="A660" s="26"/>
      <c r="B660" s="26"/>
      <c r="C660" s="306"/>
      <c r="D660" s="84"/>
      <c r="E660" s="25" t="s">
        <v>13</v>
      </c>
      <c r="F660" s="25"/>
      <c r="G660" s="12" t="s">
        <v>150</v>
      </c>
      <c r="H660" s="12"/>
      <c r="I660" s="12"/>
      <c r="J660" s="17" t="s">
        <v>2</v>
      </c>
      <c r="K660" s="28">
        <v>12200</v>
      </c>
      <c r="L660" s="11">
        <v>2600</v>
      </c>
      <c r="M660" s="11">
        <v>2200</v>
      </c>
      <c r="N660" s="11">
        <f>1000+800</f>
        <v>1800</v>
      </c>
      <c r="O660" s="11">
        <f>800+650</f>
        <v>1450</v>
      </c>
      <c r="P660" s="142">
        <f>650+500</f>
        <v>1150</v>
      </c>
      <c r="Q660" s="142">
        <f>500+350</f>
        <v>850</v>
      </c>
      <c r="R660" s="142">
        <f>350+200</f>
        <v>550</v>
      </c>
      <c r="S660" s="142">
        <v>200</v>
      </c>
      <c r="T660" s="368" t="s">
        <v>11</v>
      </c>
      <c r="U660" s="11"/>
      <c r="V660" s="11"/>
      <c r="W660" s="11"/>
      <c r="X660" s="11"/>
      <c r="Y660" s="11"/>
      <c r="Z660" s="505"/>
      <c r="AA660" s="544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</row>
    <row r="661" spans="1:46" s="6" customFormat="1" ht="13.8" thickBot="1" x14ac:dyDescent="0.3">
      <c r="A661" s="120"/>
      <c r="B661" s="120"/>
      <c r="C661" s="307"/>
      <c r="D661" s="89"/>
      <c r="E661" s="90" t="s">
        <v>16</v>
      </c>
      <c r="F661" s="90" t="s">
        <v>410</v>
      </c>
      <c r="G661" s="124"/>
      <c r="H661" s="124"/>
      <c r="I661" s="124"/>
      <c r="J661" s="41" t="s">
        <v>6</v>
      </c>
      <c r="K661" s="42">
        <f>K660+K659</f>
        <v>92200</v>
      </c>
      <c r="L661" s="43">
        <f>L660+L659</f>
        <v>12600</v>
      </c>
      <c r="M661" s="43">
        <f t="shared" ref="M661:N661" si="477">M660+M659</f>
        <v>12200</v>
      </c>
      <c r="N661" s="43">
        <f t="shared" si="477"/>
        <v>11800</v>
      </c>
      <c r="O661" s="43">
        <f>O660+O659</f>
        <v>11450</v>
      </c>
      <c r="P661" s="43">
        <f>P660+P659</f>
        <v>11150</v>
      </c>
      <c r="Q661" s="43">
        <f>Q660+Q659</f>
        <v>10850</v>
      </c>
      <c r="R661" s="43">
        <f t="shared" ref="R661:S661" si="478">R660+R659</f>
        <v>10550</v>
      </c>
      <c r="S661" s="43">
        <f t="shared" si="478"/>
        <v>10200</v>
      </c>
      <c r="T661" s="41" t="s">
        <v>11</v>
      </c>
      <c r="U661" s="43"/>
      <c r="V661" s="43"/>
      <c r="W661" s="43"/>
      <c r="X661" s="43"/>
      <c r="Y661" s="43"/>
      <c r="Z661" s="499"/>
      <c r="AA661" s="538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</row>
    <row r="662" spans="1:46" s="6" customFormat="1" x14ac:dyDescent="0.25">
      <c r="A662" s="26" t="s">
        <v>4</v>
      </c>
      <c r="B662" s="26" t="s">
        <v>97</v>
      </c>
      <c r="C662" s="306"/>
      <c r="D662" s="10" t="s">
        <v>4</v>
      </c>
      <c r="E662" s="25">
        <v>40527</v>
      </c>
      <c r="F662" s="25" t="s">
        <v>278</v>
      </c>
      <c r="G662" s="12" t="s">
        <v>152</v>
      </c>
      <c r="H662" s="12">
        <v>61310220</v>
      </c>
      <c r="I662" s="12">
        <v>586101</v>
      </c>
      <c r="J662" s="2" t="s">
        <v>1</v>
      </c>
      <c r="K662" s="27">
        <v>750000</v>
      </c>
      <c r="L662" s="4">
        <v>85000</v>
      </c>
      <c r="M662" s="4">
        <v>85000</v>
      </c>
      <c r="N662" s="4">
        <v>85000</v>
      </c>
      <c r="O662" s="4">
        <v>85000</v>
      </c>
      <c r="P662" s="4">
        <v>85000</v>
      </c>
      <c r="Q662" s="4">
        <v>85000</v>
      </c>
      <c r="R662" s="4">
        <v>80000</v>
      </c>
      <c r="S662" s="4">
        <v>80000</v>
      </c>
      <c r="T662" s="4">
        <v>80000</v>
      </c>
      <c r="U662" s="2" t="s">
        <v>11</v>
      </c>
      <c r="V662" s="4"/>
      <c r="W662" s="4"/>
      <c r="X662" s="4"/>
      <c r="Y662" s="2"/>
      <c r="Z662" s="504"/>
      <c r="AA662" s="543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1:46" s="6" customFormat="1" x14ac:dyDescent="0.25">
      <c r="A663" s="400" t="s">
        <v>970</v>
      </c>
      <c r="B663" s="26"/>
      <c r="C663" s="306"/>
      <c r="D663" s="84"/>
      <c r="E663" s="25" t="s">
        <v>13</v>
      </c>
      <c r="F663" s="25"/>
      <c r="G663" s="12" t="s">
        <v>151</v>
      </c>
      <c r="H663" s="12"/>
      <c r="I663" s="12"/>
      <c r="J663" s="17" t="s">
        <v>2</v>
      </c>
      <c r="K663" s="28">
        <v>129850</v>
      </c>
      <c r="L663" s="11">
        <v>24950</v>
      </c>
      <c r="M663" s="11">
        <v>21550</v>
      </c>
      <c r="N663" s="11">
        <f>9925+8225</f>
        <v>18150</v>
      </c>
      <c r="O663" s="11">
        <f>8225+6950</f>
        <v>15175</v>
      </c>
      <c r="P663" s="142">
        <f>6950+5675</f>
        <v>12625</v>
      </c>
      <c r="Q663" s="142">
        <f>5675+4400</f>
        <v>10075</v>
      </c>
      <c r="R663" s="142">
        <f>4400+3200</f>
        <v>7600</v>
      </c>
      <c r="S663" s="142">
        <f>3200+1600</f>
        <v>4800</v>
      </c>
      <c r="T663" s="142">
        <v>1600</v>
      </c>
      <c r="U663" s="17" t="s">
        <v>11</v>
      </c>
      <c r="V663" s="11"/>
      <c r="W663" s="11"/>
      <c r="X663" s="11"/>
      <c r="Y663" s="17"/>
      <c r="Z663" s="505"/>
      <c r="AA663" s="544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</row>
    <row r="664" spans="1:46" s="6" customFormat="1" ht="13.8" thickBot="1" x14ac:dyDescent="0.3">
      <c r="A664" s="120"/>
      <c r="B664" s="120"/>
      <c r="C664" s="307"/>
      <c r="D664" s="89"/>
      <c r="E664" s="90" t="s">
        <v>16</v>
      </c>
      <c r="F664" s="90" t="s">
        <v>410</v>
      </c>
      <c r="G664" s="124"/>
      <c r="H664" s="124"/>
      <c r="I664" s="124"/>
      <c r="J664" s="41" t="s">
        <v>6</v>
      </c>
      <c r="K664" s="42">
        <f>K663+K662</f>
        <v>879850</v>
      </c>
      <c r="L664" s="43">
        <f>L663+L662</f>
        <v>109950</v>
      </c>
      <c r="M664" s="43">
        <f t="shared" ref="M664:N664" si="479">M663+M662</f>
        <v>106550</v>
      </c>
      <c r="N664" s="43">
        <f t="shared" si="479"/>
        <v>103150</v>
      </c>
      <c r="O664" s="43">
        <f>O663+O662</f>
        <v>100175</v>
      </c>
      <c r="P664" s="43">
        <f>P663+P662</f>
        <v>97625</v>
      </c>
      <c r="Q664" s="43">
        <f>Q663+Q662</f>
        <v>95075</v>
      </c>
      <c r="R664" s="43">
        <f t="shared" ref="R664:T664" si="480">R663+R662</f>
        <v>87600</v>
      </c>
      <c r="S664" s="43">
        <f t="shared" si="480"/>
        <v>84800</v>
      </c>
      <c r="T664" s="43">
        <f t="shared" si="480"/>
        <v>81600</v>
      </c>
      <c r="U664" s="41" t="s">
        <v>11</v>
      </c>
      <c r="V664" s="43"/>
      <c r="W664" s="43"/>
      <c r="X664" s="43"/>
      <c r="Y664" s="41"/>
      <c r="Z664" s="499"/>
      <c r="AA664" s="538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</row>
    <row r="665" spans="1:46" s="6" customFormat="1" x14ac:dyDescent="0.25">
      <c r="A665" s="26" t="s">
        <v>4</v>
      </c>
      <c r="B665" s="26" t="s">
        <v>97</v>
      </c>
      <c r="C665" s="306"/>
      <c r="D665" s="10" t="s">
        <v>4</v>
      </c>
      <c r="E665" s="25">
        <v>40527</v>
      </c>
      <c r="F665" s="25" t="s">
        <v>347</v>
      </c>
      <c r="G665" s="12" t="s">
        <v>152</v>
      </c>
      <c r="H665" s="12">
        <v>61311230</v>
      </c>
      <c r="I665" s="12">
        <v>586101</v>
      </c>
      <c r="J665" s="2" t="s">
        <v>1</v>
      </c>
      <c r="K665" s="27">
        <v>500000</v>
      </c>
      <c r="L665" s="4">
        <v>50000</v>
      </c>
      <c r="M665" s="4">
        <v>50000</v>
      </c>
      <c r="N665" s="4">
        <v>50000</v>
      </c>
      <c r="O665" s="4">
        <v>50000</v>
      </c>
      <c r="P665" s="4">
        <v>50000</v>
      </c>
      <c r="Q665" s="4">
        <v>50000</v>
      </c>
      <c r="R665" s="4">
        <v>50000</v>
      </c>
      <c r="S665" s="4">
        <v>50000</v>
      </c>
      <c r="T665" s="4">
        <v>50000</v>
      </c>
      <c r="U665" s="4">
        <v>50000</v>
      </c>
      <c r="V665" s="2" t="s">
        <v>11</v>
      </c>
      <c r="W665" s="4"/>
      <c r="X665" s="4"/>
      <c r="Y665" s="4"/>
      <c r="Z665" s="504"/>
      <c r="AA665" s="543"/>
      <c r="AB665" s="4"/>
      <c r="AC665" s="4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1:46" s="6" customFormat="1" x14ac:dyDescent="0.25">
      <c r="A666" s="400" t="s">
        <v>971</v>
      </c>
      <c r="B666" s="26"/>
      <c r="C666" s="306"/>
      <c r="D666" s="84"/>
      <c r="E666" s="25" t="s">
        <v>13</v>
      </c>
      <c r="F666" s="25"/>
      <c r="G666" s="12" t="s">
        <v>166</v>
      </c>
      <c r="H666" s="12"/>
      <c r="I666" s="12"/>
      <c r="J666" s="17" t="s">
        <v>2</v>
      </c>
      <c r="K666" s="28">
        <v>97750</v>
      </c>
      <c r="L666" s="11">
        <v>16875</v>
      </c>
      <c r="M666" s="11">
        <v>14875</v>
      </c>
      <c r="N666" s="11">
        <f>6937.5+5937.5</f>
        <v>12875</v>
      </c>
      <c r="O666" s="11">
        <f>5937.5+5187.5</f>
        <v>11125</v>
      </c>
      <c r="P666" s="142">
        <f>5187.5+4437.5</f>
        <v>9625</v>
      </c>
      <c r="Q666" s="142">
        <f>4437.5+3687.5</f>
        <v>8125</v>
      </c>
      <c r="R666" s="142">
        <f>3687.5+2937.5</f>
        <v>6625</v>
      </c>
      <c r="S666" s="142">
        <f>2937.5+1937.5</f>
        <v>4875</v>
      </c>
      <c r="T666" s="142">
        <f>1937.5+937.5</f>
        <v>2875</v>
      </c>
      <c r="U666" s="11">
        <v>937.5</v>
      </c>
      <c r="V666" s="17" t="s">
        <v>11</v>
      </c>
      <c r="W666" s="11"/>
      <c r="X666" s="11"/>
      <c r="Y666" s="11"/>
      <c r="Z666" s="505"/>
      <c r="AA666" s="544"/>
      <c r="AB666" s="11"/>
      <c r="AC666" s="11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</row>
    <row r="667" spans="1:46" s="6" customFormat="1" ht="13.8" thickBot="1" x14ac:dyDescent="0.3">
      <c r="A667" s="120"/>
      <c r="B667" s="120"/>
      <c r="C667" s="307"/>
      <c r="D667" s="89"/>
      <c r="E667" s="90" t="s">
        <v>16</v>
      </c>
      <c r="F667" s="90" t="s">
        <v>410</v>
      </c>
      <c r="G667" s="124"/>
      <c r="H667" s="124"/>
      <c r="I667" s="124"/>
      <c r="J667" s="41" t="s">
        <v>6</v>
      </c>
      <c r="K667" s="42">
        <f>K666+K665</f>
        <v>597750</v>
      </c>
      <c r="L667" s="43">
        <f>L666+L665</f>
        <v>66875</v>
      </c>
      <c r="M667" s="43">
        <f t="shared" ref="M667:N667" si="481">M666+M665</f>
        <v>64875</v>
      </c>
      <c r="N667" s="43">
        <f t="shared" si="481"/>
        <v>62875</v>
      </c>
      <c r="O667" s="43">
        <f>O666+O665</f>
        <v>61125</v>
      </c>
      <c r="P667" s="43">
        <f>P666+P665</f>
        <v>59625</v>
      </c>
      <c r="Q667" s="43">
        <f>Q666+Q665</f>
        <v>58125</v>
      </c>
      <c r="R667" s="43">
        <f t="shared" ref="R667:U667" si="482">R666+R665</f>
        <v>56625</v>
      </c>
      <c r="S667" s="43">
        <f t="shared" si="482"/>
        <v>54875</v>
      </c>
      <c r="T667" s="43">
        <f t="shared" si="482"/>
        <v>52875</v>
      </c>
      <c r="U667" s="43">
        <f t="shared" si="482"/>
        <v>50937.5</v>
      </c>
      <c r="V667" s="41" t="s">
        <v>11</v>
      </c>
      <c r="W667" s="43"/>
      <c r="X667" s="43"/>
      <c r="Y667" s="43"/>
      <c r="Z667" s="499"/>
      <c r="AA667" s="538"/>
      <c r="AB667" s="43"/>
      <c r="AC667" s="43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</row>
    <row r="668" spans="1:46" s="8" customFormat="1" x14ac:dyDescent="0.25">
      <c r="A668" s="121"/>
      <c r="B668" s="121"/>
      <c r="C668" s="306"/>
      <c r="D668" s="55"/>
      <c r="E668" s="55"/>
      <c r="F668" s="55"/>
      <c r="G668" s="9" t="s">
        <v>7</v>
      </c>
      <c r="H668" s="9">
        <v>61773119</v>
      </c>
      <c r="I668" s="9">
        <v>591100</v>
      </c>
      <c r="J668" s="10" t="s">
        <v>1</v>
      </c>
      <c r="K668" s="31">
        <f t="shared" ref="K668:M669" si="483">K665+K662+K659+K656+K653</f>
        <v>1836315</v>
      </c>
      <c r="L668" s="7">
        <f t="shared" si="483"/>
        <v>191315</v>
      </c>
      <c r="M668" s="7">
        <f t="shared" si="483"/>
        <v>185000</v>
      </c>
      <c r="N668" s="7">
        <f t="shared" ref="N668:S668" si="484">N665+N662+N659+N656+N653</f>
        <v>185000</v>
      </c>
      <c r="O668" s="7">
        <f t="shared" si="484"/>
        <v>180000</v>
      </c>
      <c r="P668" s="7">
        <f t="shared" si="484"/>
        <v>180000</v>
      </c>
      <c r="Q668" s="7">
        <f t="shared" si="484"/>
        <v>180000</v>
      </c>
      <c r="R668" s="7">
        <f t="shared" si="484"/>
        <v>175000</v>
      </c>
      <c r="S668" s="7">
        <f t="shared" si="484"/>
        <v>170000</v>
      </c>
      <c r="T668" s="7">
        <f>T665+T662+T656+T653</f>
        <v>160000</v>
      </c>
      <c r="U668" s="7">
        <f>U665+U656+U653</f>
        <v>80000</v>
      </c>
      <c r="V668" s="7">
        <f>V656+V653</f>
        <v>30000</v>
      </c>
      <c r="W668" s="7">
        <f t="shared" ref="W668:Z668" si="485">W656+W653</f>
        <v>30000</v>
      </c>
      <c r="X668" s="7">
        <f t="shared" si="485"/>
        <v>30000</v>
      </c>
      <c r="Y668" s="7">
        <f t="shared" si="485"/>
        <v>30000</v>
      </c>
      <c r="Z668" s="501">
        <f t="shared" si="485"/>
        <v>30000</v>
      </c>
      <c r="AA668" s="58" t="s">
        <v>11</v>
      </c>
      <c r="AB668" s="7"/>
      <c r="AC668" s="7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 s="8" customFormat="1" x14ac:dyDescent="0.25">
      <c r="A669" s="121"/>
      <c r="B669" s="121"/>
      <c r="C669" s="306"/>
      <c r="D669" s="10"/>
      <c r="E669" s="10"/>
      <c r="F669" s="10"/>
      <c r="G669" s="10"/>
      <c r="H669" s="9">
        <v>61773119</v>
      </c>
      <c r="I669" s="10">
        <v>595100</v>
      </c>
      <c r="J669" s="19" t="s">
        <v>2</v>
      </c>
      <c r="K669" s="32">
        <f t="shared" si="483"/>
        <v>379702.6</v>
      </c>
      <c r="L669" s="16">
        <f t="shared" si="483"/>
        <v>62051.3</v>
      </c>
      <c r="M669" s="16">
        <f t="shared" si="483"/>
        <v>54525</v>
      </c>
      <c r="N669" s="16">
        <f t="shared" ref="N669:S669" si="486">N666+N663+N660+N657+N654</f>
        <v>47125</v>
      </c>
      <c r="O669" s="16">
        <f t="shared" si="486"/>
        <v>40725</v>
      </c>
      <c r="P669" s="16">
        <f t="shared" si="486"/>
        <v>35325</v>
      </c>
      <c r="Q669" s="16">
        <f t="shared" si="486"/>
        <v>29925</v>
      </c>
      <c r="R669" s="16">
        <f t="shared" si="486"/>
        <v>24600</v>
      </c>
      <c r="S669" s="16">
        <f t="shared" si="486"/>
        <v>18575</v>
      </c>
      <c r="T669" s="16">
        <f>T666+T663+T657+T654</f>
        <v>11975</v>
      </c>
      <c r="U669" s="16">
        <f>U666+U657+U654</f>
        <v>7275</v>
      </c>
      <c r="V669" s="16">
        <f>V657+V654</f>
        <v>5212.5</v>
      </c>
      <c r="W669" s="16">
        <f t="shared" ref="W669:Z669" si="487">W657+W654</f>
        <v>4087.5</v>
      </c>
      <c r="X669" s="16">
        <f t="shared" si="487"/>
        <v>2962.5</v>
      </c>
      <c r="Y669" s="16">
        <f t="shared" si="487"/>
        <v>1800</v>
      </c>
      <c r="Z669" s="502">
        <f t="shared" si="487"/>
        <v>600</v>
      </c>
      <c r="AA669" s="63" t="s">
        <v>11</v>
      </c>
      <c r="AB669" s="16"/>
      <c r="AC669" s="16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</row>
    <row r="670" spans="1:46" s="8" customFormat="1" ht="13.8" thickBot="1" x14ac:dyDescent="0.3">
      <c r="A670" s="122"/>
      <c r="B670" s="122"/>
      <c r="C670" s="307"/>
      <c r="D670" s="91"/>
      <c r="E670" s="91"/>
      <c r="F670" s="91"/>
      <c r="G670" s="91"/>
      <c r="H670" s="91"/>
      <c r="I670" s="91"/>
      <c r="J670" s="52" t="s">
        <v>5</v>
      </c>
      <c r="K670" s="53">
        <f>K669+K668</f>
        <v>2216017.6</v>
      </c>
      <c r="L670" s="46">
        <f>L669+L668</f>
        <v>253366.3</v>
      </c>
      <c r="M670" s="46">
        <f>M669+M668</f>
        <v>239525</v>
      </c>
      <c r="N670" s="46">
        <f t="shared" ref="N670:Z670" si="488">N669+N668</f>
        <v>232125</v>
      </c>
      <c r="O670" s="46">
        <f t="shared" si="488"/>
        <v>220725</v>
      </c>
      <c r="P670" s="46">
        <f t="shared" si="488"/>
        <v>215325</v>
      </c>
      <c r="Q670" s="46">
        <f t="shared" si="488"/>
        <v>209925</v>
      </c>
      <c r="R670" s="46">
        <f t="shared" si="488"/>
        <v>199600</v>
      </c>
      <c r="S670" s="46">
        <f t="shared" si="488"/>
        <v>188575</v>
      </c>
      <c r="T670" s="46">
        <f t="shared" si="488"/>
        <v>171975</v>
      </c>
      <c r="U670" s="46">
        <f t="shared" si="488"/>
        <v>87275</v>
      </c>
      <c r="V670" s="46">
        <f t="shared" si="488"/>
        <v>35212.5</v>
      </c>
      <c r="W670" s="46">
        <f t="shared" si="488"/>
        <v>34087.5</v>
      </c>
      <c r="X670" s="46">
        <f t="shared" si="488"/>
        <v>32962.5</v>
      </c>
      <c r="Y670" s="46">
        <f t="shared" si="488"/>
        <v>31800</v>
      </c>
      <c r="Z670" s="503">
        <f t="shared" si="488"/>
        <v>30600</v>
      </c>
      <c r="AA670" s="65" t="s">
        <v>11</v>
      </c>
      <c r="AB670" s="46"/>
      <c r="AC670" s="46"/>
      <c r="AD670" s="47"/>
      <c r="AE670" s="47"/>
      <c r="AF670" s="47"/>
      <c r="AG670" s="47"/>
      <c r="AH670" s="47"/>
      <c r="AI670" s="47"/>
      <c r="AJ670" s="47"/>
      <c r="AK670" s="47"/>
      <c r="AL670" s="47"/>
      <c r="AM670" s="47"/>
      <c r="AN670" s="47"/>
      <c r="AO670" s="47"/>
      <c r="AP670" s="47"/>
      <c r="AQ670" s="47"/>
      <c r="AR670" s="47"/>
      <c r="AS670" s="47"/>
      <c r="AT670" s="47"/>
    </row>
    <row r="671" spans="1:46" s="3" customFormat="1" x14ac:dyDescent="0.25">
      <c r="A671" s="121"/>
      <c r="B671" s="121"/>
      <c r="C671" s="306"/>
      <c r="D671" s="102"/>
      <c r="E671" s="102"/>
      <c r="F671" s="102"/>
      <c r="G671" s="103" t="s">
        <v>515</v>
      </c>
      <c r="H671" s="103"/>
      <c r="I671" s="103"/>
      <c r="J671" s="104" t="s">
        <v>1</v>
      </c>
      <c r="K671" s="105">
        <f t="shared" ref="K671:Z671" si="489">K668+K650+K632</f>
        <v>8176921</v>
      </c>
      <c r="L671" s="7">
        <f t="shared" si="489"/>
        <v>1071921</v>
      </c>
      <c r="M671" s="7">
        <f t="shared" si="489"/>
        <v>1015000</v>
      </c>
      <c r="N671" s="7">
        <f t="shared" si="489"/>
        <v>1000000</v>
      </c>
      <c r="O671" s="7">
        <f t="shared" si="489"/>
        <v>975000</v>
      </c>
      <c r="P671" s="7">
        <f t="shared" si="489"/>
        <v>825000</v>
      </c>
      <c r="Q671" s="7">
        <f t="shared" si="489"/>
        <v>445000</v>
      </c>
      <c r="R671" s="7">
        <f t="shared" si="489"/>
        <v>435000</v>
      </c>
      <c r="S671" s="7">
        <f t="shared" si="489"/>
        <v>430000</v>
      </c>
      <c r="T671" s="7">
        <f t="shared" si="489"/>
        <v>420000</v>
      </c>
      <c r="U671" s="7">
        <f t="shared" si="489"/>
        <v>305000</v>
      </c>
      <c r="V671" s="7">
        <f t="shared" si="489"/>
        <v>255000</v>
      </c>
      <c r="W671" s="7">
        <f t="shared" si="489"/>
        <v>250000</v>
      </c>
      <c r="X671" s="7">
        <f t="shared" si="489"/>
        <v>250000</v>
      </c>
      <c r="Y671" s="7">
        <f t="shared" si="489"/>
        <v>250000</v>
      </c>
      <c r="Z671" s="501">
        <f t="shared" si="489"/>
        <v>250000</v>
      </c>
      <c r="AA671" s="58" t="s">
        <v>11</v>
      </c>
      <c r="AB671" s="7"/>
      <c r="AC671" s="7"/>
      <c r="AI671" s="7"/>
      <c r="AN671" s="7"/>
    </row>
    <row r="672" spans="1:46" s="3" customFormat="1" ht="13.8" thickBot="1" x14ac:dyDescent="0.3">
      <c r="A672" s="121"/>
      <c r="B672" s="121"/>
      <c r="C672" s="306"/>
      <c r="D672" s="104"/>
      <c r="E672" s="104"/>
      <c r="F672" s="104"/>
      <c r="G672" s="103"/>
      <c r="H672" s="103"/>
      <c r="I672" s="103"/>
      <c r="J672" s="106" t="s">
        <v>2</v>
      </c>
      <c r="K672" s="107">
        <f t="shared" ref="K672:Z672" si="490">K669+K651+K633</f>
        <v>1689014.3399999999</v>
      </c>
      <c r="L672" s="22">
        <f t="shared" si="490"/>
        <v>276188.42000000004</v>
      </c>
      <c r="M672" s="22">
        <f t="shared" si="490"/>
        <v>234450</v>
      </c>
      <c r="N672" s="22">
        <f t="shared" si="490"/>
        <v>194150</v>
      </c>
      <c r="O672" s="22">
        <f t="shared" si="490"/>
        <v>159525</v>
      </c>
      <c r="P672" s="22">
        <f t="shared" si="490"/>
        <v>132525</v>
      </c>
      <c r="Q672" s="22">
        <f t="shared" si="490"/>
        <v>113475</v>
      </c>
      <c r="R672" s="22">
        <f t="shared" si="490"/>
        <v>100275</v>
      </c>
      <c r="S672" s="22">
        <f t="shared" si="490"/>
        <v>85150</v>
      </c>
      <c r="T672" s="22">
        <f t="shared" si="490"/>
        <v>68150</v>
      </c>
      <c r="U672" s="22">
        <f t="shared" si="490"/>
        <v>54031.25</v>
      </c>
      <c r="V672" s="22">
        <f t="shared" si="490"/>
        <v>43531.25</v>
      </c>
      <c r="W672" s="22">
        <f t="shared" si="490"/>
        <v>34062.5</v>
      </c>
      <c r="X672" s="22">
        <f t="shared" si="490"/>
        <v>24687.5</v>
      </c>
      <c r="Y672" s="22">
        <f t="shared" si="490"/>
        <v>15000</v>
      </c>
      <c r="Z672" s="506">
        <f t="shared" si="490"/>
        <v>5000</v>
      </c>
      <c r="AA672" s="92" t="s">
        <v>11</v>
      </c>
      <c r="AB672" s="22"/>
      <c r="AC672" s="22"/>
      <c r="AD672" s="23"/>
      <c r="AE672" s="23"/>
      <c r="AF672" s="23"/>
      <c r="AG672" s="23"/>
      <c r="AH672" s="23"/>
      <c r="AI672" s="22"/>
      <c r="AJ672" s="23"/>
      <c r="AK672" s="23"/>
      <c r="AL672" s="23"/>
      <c r="AM672" s="23"/>
      <c r="AN672" s="22"/>
      <c r="AO672" s="23"/>
      <c r="AP672" s="23"/>
      <c r="AQ672" s="23"/>
      <c r="AR672" s="23"/>
      <c r="AS672" s="23"/>
      <c r="AT672" s="23"/>
    </row>
    <row r="673" spans="1:46" s="6" customFormat="1" x14ac:dyDescent="0.25">
      <c r="A673" s="26"/>
      <c r="B673" s="26"/>
      <c r="C673" s="306"/>
      <c r="D673" s="108"/>
      <c r="E673" s="108"/>
      <c r="F673" s="108"/>
      <c r="G673" s="118"/>
      <c r="H673" s="118"/>
      <c r="I673" s="118"/>
      <c r="J673" s="109" t="s">
        <v>5</v>
      </c>
      <c r="K673" s="110">
        <f>K672+K671</f>
        <v>9865935.3399999999</v>
      </c>
      <c r="L673" s="67">
        <f>L672+L671</f>
        <v>1348109.42</v>
      </c>
      <c r="M673" s="67">
        <f t="shared" ref="M673:Z673" si="491">M672+M671</f>
        <v>1249450</v>
      </c>
      <c r="N673" s="67">
        <f t="shared" si="491"/>
        <v>1194150</v>
      </c>
      <c r="O673" s="67">
        <f t="shared" si="491"/>
        <v>1134525</v>
      </c>
      <c r="P673" s="67">
        <f t="shared" si="491"/>
        <v>957525</v>
      </c>
      <c r="Q673" s="67">
        <f t="shared" si="491"/>
        <v>558475</v>
      </c>
      <c r="R673" s="67">
        <f t="shared" si="491"/>
        <v>535275</v>
      </c>
      <c r="S673" s="67">
        <f t="shared" si="491"/>
        <v>515150</v>
      </c>
      <c r="T673" s="67">
        <f t="shared" si="491"/>
        <v>488150</v>
      </c>
      <c r="U673" s="67">
        <f t="shared" si="491"/>
        <v>359031.25</v>
      </c>
      <c r="V673" s="67">
        <f t="shared" si="491"/>
        <v>298531.25</v>
      </c>
      <c r="W673" s="67">
        <f t="shared" si="491"/>
        <v>284062.5</v>
      </c>
      <c r="X673" s="67">
        <f t="shared" si="491"/>
        <v>274687.5</v>
      </c>
      <c r="Y673" s="67">
        <f t="shared" si="491"/>
        <v>265000</v>
      </c>
      <c r="Z673" s="507">
        <f t="shared" si="491"/>
        <v>255000</v>
      </c>
      <c r="AA673" s="548" t="s">
        <v>11</v>
      </c>
      <c r="AB673" s="67"/>
      <c r="AC673" s="67"/>
      <c r="AD673" s="134"/>
      <c r="AE673" s="69"/>
      <c r="AF673" s="69"/>
      <c r="AG673" s="69"/>
      <c r="AH673" s="69"/>
      <c r="AI673" s="67"/>
      <c r="AJ673" s="69"/>
      <c r="AK673" s="69"/>
      <c r="AL673" s="69"/>
      <c r="AM673" s="69"/>
      <c r="AN673" s="67"/>
      <c r="AO673" s="69"/>
      <c r="AP673" s="69"/>
      <c r="AQ673" s="69"/>
      <c r="AR673" s="69"/>
      <c r="AS673" s="69"/>
      <c r="AT673" s="69"/>
    </row>
    <row r="674" spans="1:46" s="2" customFormat="1" x14ac:dyDescent="0.25">
      <c r="A674" s="119"/>
      <c r="B674" s="119"/>
      <c r="C674" s="308"/>
      <c r="D674" s="49"/>
      <c r="E674" s="49"/>
      <c r="F674" s="49"/>
      <c r="G674" s="137" t="s">
        <v>153</v>
      </c>
      <c r="H674" s="137"/>
      <c r="I674" s="137"/>
      <c r="J674" s="48"/>
      <c r="K674" s="96"/>
      <c r="L674" s="97"/>
      <c r="M674" s="97"/>
      <c r="N674" s="97"/>
      <c r="O674" s="97"/>
      <c r="P674" s="98"/>
      <c r="Q674" s="98"/>
      <c r="R674" s="98"/>
      <c r="S674" s="98"/>
      <c r="T674" s="9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</row>
    <row r="675" spans="1:46" s="2" customFormat="1" x14ac:dyDescent="0.25">
      <c r="A675" s="26" t="s">
        <v>95</v>
      </c>
      <c r="B675" s="26" t="s">
        <v>97</v>
      </c>
      <c r="C675" s="306"/>
      <c r="D675" s="33" t="s">
        <v>3</v>
      </c>
      <c r="E675" s="34">
        <v>40862</v>
      </c>
      <c r="F675" s="34" t="s">
        <v>269</v>
      </c>
      <c r="G675" s="35" t="s">
        <v>154</v>
      </c>
      <c r="H675" s="35">
        <v>31300235</v>
      </c>
      <c r="I675" s="35">
        <v>582006</v>
      </c>
      <c r="J675" s="2" t="s">
        <v>1</v>
      </c>
      <c r="K675" s="27">
        <v>339830</v>
      </c>
      <c r="L675" s="4">
        <v>0</v>
      </c>
      <c r="M675" s="4">
        <v>39830</v>
      </c>
      <c r="N675" s="4">
        <v>35000</v>
      </c>
      <c r="O675" s="4">
        <v>35000</v>
      </c>
      <c r="P675" s="4">
        <v>35000</v>
      </c>
      <c r="Q675" s="4">
        <v>35000</v>
      </c>
      <c r="R675" s="4">
        <v>35000</v>
      </c>
      <c r="S675" s="4">
        <v>35000</v>
      </c>
      <c r="T675" s="4">
        <v>30000</v>
      </c>
      <c r="U675" s="4">
        <v>30000</v>
      </c>
      <c r="V675" s="4">
        <v>30000</v>
      </c>
      <c r="W675" s="2" t="s">
        <v>11</v>
      </c>
      <c r="X675" s="4"/>
      <c r="Y675" s="4"/>
      <c r="Z675" s="504"/>
      <c r="AA675" s="60"/>
    </row>
    <row r="676" spans="1:46" s="2" customFormat="1" x14ac:dyDescent="0.25">
      <c r="A676" s="400" t="s">
        <v>972</v>
      </c>
      <c r="B676" s="26"/>
      <c r="C676" s="306"/>
      <c r="D676" s="33"/>
      <c r="E676" s="34" t="s">
        <v>13</v>
      </c>
      <c r="F676" s="34" t="s">
        <v>355</v>
      </c>
      <c r="G676" s="35" t="s">
        <v>945</v>
      </c>
      <c r="H676" s="35"/>
      <c r="I676" s="35"/>
      <c r="J676" s="17" t="s">
        <v>2</v>
      </c>
      <c r="K676" s="28">
        <v>47321.599999999999</v>
      </c>
      <c r="L676" s="11">
        <v>4110.8</v>
      </c>
      <c r="M676" s="11">
        <v>7823.3</v>
      </c>
      <c r="N676" s="11">
        <f>3712.5+3362.5</f>
        <v>7075</v>
      </c>
      <c r="O676" s="11">
        <f>3362.5+3012.5</f>
        <v>6375</v>
      </c>
      <c r="P676" s="11">
        <f>3012.5+2662.5</f>
        <v>5675</v>
      </c>
      <c r="Q676" s="11">
        <f>2662.5+2312.5</f>
        <v>4975</v>
      </c>
      <c r="R676" s="11">
        <f>2312.5+1787.5</f>
        <v>4100</v>
      </c>
      <c r="S676" s="11">
        <f>1787.5+1350</f>
        <v>3137.5</v>
      </c>
      <c r="T676" s="11">
        <f>1350+900</f>
        <v>2250</v>
      </c>
      <c r="U676" s="11">
        <f>900+450</f>
        <v>1350</v>
      </c>
      <c r="V676" s="11">
        <v>450</v>
      </c>
      <c r="W676" s="17" t="s">
        <v>11</v>
      </c>
      <c r="X676" s="11"/>
      <c r="Y676" s="11"/>
      <c r="Z676" s="505"/>
      <c r="AA676" s="532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</row>
    <row r="677" spans="1:46" s="6" customFormat="1" ht="13.8" thickBot="1" x14ac:dyDescent="0.3">
      <c r="A677" s="409" t="s">
        <v>1119</v>
      </c>
      <c r="B677" s="120"/>
      <c r="C677" s="307"/>
      <c r="D677" s="85"/>
      <c r="E677" s="86" t="s">
        <v>161</v>
      </c>
      <c r="F677" s="86" t="s">
        <v>410</v>
      </c>
      <c r="G677" s="145" t="s">
        <v>619</v>
      </c>
      <c r="H677" s="145"/>
      <c r="I677" s="145"/>
      <c r="J677" s="41" t="s">
        <v>6</v>
      </c>
      <c r="K677" s="42">
        <f>K676+K675</f>
        <v>387151.6</v>
      </c>
      <c r="L677" s="43">
        <f>L676+L675</f>
        <v>4110.8</v>
      </c>
      <c r="M677" s="43">
        <f t="shared" ref="M677:V677" si="492">M676+M675</f>
        <v>47653.3</v>
      </c>
      <c r="N677" s="43">
        <f t="shared" si="492"/>
        <v>42075</v>
      </c>
      <c r="O677" s="43">
        <f t="shared" si="492"/>
        <v>41375</v>
      </c>
      <c r="P677" s="43">
        <f t="shared" si="492"/>
        <v>40675</v>
      </c>
      <c r="Q677" s="43">
        <f t="shared" si="492"/>
        <v>39975</v>
      </c>
      <c r="R677" s="43">
        <f t="shared" si="492"/>
        <v>39100</v>
      </c>
      <c r="S677" s="43">
        <f t="shared" si="492"/>
        <v>38137.5</v>
      </c>
      <c r="T677" s="43">
        <f t="shared" si="492"/>
        <v>32250</v>
      </c>
      <c r="U677" s="43">
        <f t="shared" si="492"/>
        <v>31350</v>
      </c>
      <c r="V677" s="43">
        <f t="shared" si="492"/>
        <v>30450</v>
      </c>
      <c r="W677" s="41" t="s">
        <v>11</v>
      </c>
      <c r="X677" s="43"/>
      <c r="Y677" s="43"/>
      <c r="Z677" s="499"/>
      <c r="AA677" s="533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</row>
    <row r="678" spans="1:46" s="2" customFormat="1" x14ac:dyDescent="0.25">
      <c r="A678" s="26" t="s">
        <v>100</v>
      </c>
      <c r="B678" s="26" t="s">
        <v>97</v>
      </c>
      <c r="C678" s="306"/>
      <c r="D678" s="33" t="s">
        <v>3</v>
      </c>
      <c r="E678" s="34">
        <v>40862</v>
      </c>
      <c r="F678" s="34" t="s">
        <v>281</v>
      </c>
      <c r="G678" s="35" t="s">
        <v>421</v>
      </c>
      <c r="H678" s="35">
        <v>31171158</v>
      </c>
      <c r="I678" s="35">
        <v>530000</v>
      </c>
      <c r="J678" s="2" t="s">
        <v>1</v>
      </c>
      <c r="K678" s="27">
        <v>63625</v>
      </c>
      <c r="L678" s="4">
        <v>0</v>
      </c>
      <c r="M678" s="4">
        <v>13625</v>
      </c>
      <c r="N678" s="4">
        <v>10000</v>
      </c>
      <c r="O678" s="4">
        <v>10000</v>
      </c>
      <c r="P678" s="4">
        <v>10000</v>
      </c>
      <c r="Q678" s="4">
        <v>10000</v>
      </c>
      <c r="R678" s="4">
        <v>10000</v>
      </c>
      <c r="S678" s="367" t="s">
        <v>11</v>
      </c>
      <c r="T678" s="283"/>
      <c r="Z678" s="490"/>
      <c r="AA678" s="60"/>
    </row>
    <row r="679" spans="1:46" s="2" customFormat="1" x14ac:dyDescent="0.25">
      <c r="A679" s="26"/>
      <c r="B679" s="26"/>
      <c r="C679" s="306"/>
      <c r="D679" s="33"/>
      <c r="E679" s="34" t="s">
        <v>13</v>
      </c>
      <c r="F679" s="34"/>
      <c r="G679" s="35" t="s">
        <v>424</v>
      </c>
      <c r="H679" s="35"/>
      <c r="I679" s="35"/>
      <c r="J679" s="17" t="s">
        <v>2</v>
      </c>
      <c r="K679" s="28">
        <v>4872.5</v>
      </c>
      <c r="L679" s="11">
        <v>686.25</v>
      </c>
      <c r="M679" s="11">
        <v>1236.25</v>
      </c>
      <c r="N679" s="11">
        <f>550+450</f>
        <v>1000</v>
      </c>
      <c r="O679" s="11">
        <f>450+350</f>
        <v>800</v>
      </c>
      <c r="P679" s="11">
        <f>350+250</f>
        <v>600</v>
      </c>
      <c r="Q679" s="11">
        <f>250+150</f>
        <v>400</v>
      </c>
      <c r="R679" s="11">
        <v>150</v>
      </c>
      <c r="S679" s="368" t="s">
        <v>11</v>
      </c>
      <c r="T679" s="142"/>
      <c r="U679" s="17"/>
      <c r="V679" s="17"/>
      <c r="W679" s="17"/>
      <c r="X679" s="17"/>
      <c r="Y679" s="17"/>
      <c r="Z679" s="491"/>
      <c r="AA679" s="532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</row>
    <row r="680" spans="1:46" s="6" customFormat="1" ht="13.8" thickBot="1" x14ac:dyDescent="0.3">
      <c r="A680" s="120"/>
      <c r="B680" s="120"/>
      <c r="C680" s="307"/>
      <c r="D680" s="85"/>
      <c r="E680" s="86"/>
      <c r="F680" s="86" t="s">
        <v>410</v>
      </c>
      <c r="G680" s="125" t="s">
        <v>611</v>
      </c>
      <c r="H680" s="125"/>
      <c r="I680" s="125"/>
      <c r="J680" s="41" t="s">
        <v>6</v>
      </c>
      <c r="K680" s="42">
        <f>K679+K678</f>
        <v>68497.5</v>
      </c>
      <c r="L680" s="43">
        <f>L679+L678</f>
        <v>686.25</v>
      </c>
      <c r="M680" s="43">
        <f>M679+M678</f>
        <v>14861.25</v>
      </c>
      <c r="N680" s="43">
        <f t="shared" ref="N680" si="493">N679+N678</f>
        <v>11000</v>
      </c>
      <c r="O680" s="43">
        <f t="shared" ref="O680:R680" si="494">O679+O678</f>
        <v>10800</v>
      </c>
      <c r="P680" s="43">
        <f t="shared" si="494"/>
        <v>10600</v>
      </c>
      <c r="Q680" s="43">
        <f t="shared" si="494"/>
        <v>10400</v>
      </c>
      <c r="R680" s="43">
        <f t="shared" si="494"/>
        <v>10150</v>
      </c>
      <c r="S680" s="41" t="s">
        <v>11</v>
      </c>
      <c r="T680" s="43"/>
      <c r="U680" s="41"/>
      <c r="V680" s="41"/>
      <c r="W680" s="41"/>
      <c r="X680" s="41"/>
      <c r="Y680" s="41"/>
      <c r="Z680" s="492"/>
      <c r="AA680" s="533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</row>
    <row r="681" spans="1:46" s="2" customFormat="1" x14ac:dyDescent="0.25">
      <c r="A681" s="26" t="s">
        <v>98</v>
      </c>
      <c r="B681" s="26" t="s">
        <v>96</v>
      </c>
      <c r="C681" s="306"/>
      <c r="D681" s="33" t="s">
        <v>3</v>
      </c>
      <c r="E681" s="34">
        <v>40862</v>
      </c>
      <c r="F681" s="34" t="s">
        <v>356</v>
      </c>
      <c r="G681" s="35" t="s">
        <v>165</v>
      </c>
      <c r="H681" s="35">
        <v>31300230</v>
      </c>
      <c r="I681" s="35">
        <v>584000</v>
      </c>
      <c r="J681" s="2" t="s">
        <v>1</v>
      </c>
      <c r="K681" s="27">
        <v>86629</v>
      </c>
      <c r="L681" s="4">
        <v>0</v>
      </c>
      <c r="M681" s="4">
        <v>21629</v>
      </c>
      <c r="N681" s="4">
        <v>20000</v>
      </c>
      <c r="O681" s="4">
        <v>15000</v>
      </c>
      <c r="P681" s="4">
        <v>15000</v>
      </c>
      <c r="Q681" s="4">
        <v>15000</v>
      </c>
      <c r="R681" s="367" t="s">
        <v>11</v>
      </c>
      <c r="S681" s="283"/>
      <c r="T681" s="283"/>
      <c r="Z681" s="490"/>
      <c r="AA681" s="60"/>
    </row>
    <row r="682" spans="1:46" s="2" customFormat="1" x14ac:dyDescent="0.25">
      <c r="A682" s="26"/>
      <c r="B682" s="26"/>
      <c r="C682" s="306"/>
      <c r="D682" s="33"/>
      <c r="E682" s="34" t="s">
        <v>12</v>
      </c>
      <c r="F682" s="34"/>
      <c r="G682" s="35" t="s">
        <v>155</v>
      </c>
      <c r="H682" s="35"/>
      <c r="I682" s="35"/>
      <c r="J682" s="17" t="s">
        <v>2</v>
      </c>
      <c r="K682" s="28">
        <v>4832.58</v>
      </c>
      <c r="L682" s="11">
        <v>866.29</v>
      </c>
      <c r="M682" s="11">
        <v>1516.29</v>
      </c>
      <c r="N682" s="11">
        <f>650+450</f>
        <v>1100</v>
      </c>
      <c r="O682" s="11">
        <f>450+300</f>
        <v>750</v>
      </c>
      <c r="P682" s="11">
        <f>300+150</f>
        <v>450</v>
      </c>
      <c r="Q682" s="11">
        <v>150</v>
      </c>
      <c r="R682" s="368" t="s">
        <v>11</v>
      </c>
      <c r="S682" s="142"/>
      <c r="T682" s="142"/>
      <c r="U682" s="17"/>
      <c r="V682" s="17"/>
      <c r="W682" s="17"/>
      <c r="X682" s="17"/>
      <c r="Y682" s="17"/>
      <c r="Z682" s="491"/>
      <c r="AA682" s="532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</row>
    <row r="683" spans="1:46" s="6" customFormat="1" ht="13.8" thickBot="1" x14ac:dyDescent="0.3">
      <c r="A683" s="120"/>
      <c r="B683" s="120"/>
      <c r="C683" s="307"/>
      <c r="D683" s="85"/>
      <c r="E683" s="86" t="s">
        <v>17</v>
      </c>
      <c r="F683" s="86" t="s">
        <v>410</v>
      </c>
      <c r="G683" s="125"/>
      <c r="H683" s="125"/>
      <c r="I683" s="125"/>
      <c r="J683" s="41" t="s">
        <v>6</v>
      </c>
      <c r="K683" s="42">
        <f t="shared" ref="K683:O683" si="495">K682+K681</f>
        <v>91461.58</v>
      </c>
      <c r="L683" s="43">
        <f t="shared" si="495"/>
        <v>866.29</v>
      </c>
      <c r="M683" s="43">
        <f t="shared" si="495"/>
        <v>23145.29</v>
      </c>
      <c r="N683" s="43">
        <f t="shared" si="495"/>
        <v>21100</v>
      </c>
      <c r="O683" s="43">
        <f t="shared" si="495"/>
        <v>15750</v>
      </c>
      <c r="P683" s="43">
        <f t="shared" ref="P683:Q683" si="496">P682+P681</f>
        <v>15450</v>
      </c>
      <c r="Q683" s="43">
        <f t="shared" si="496"/>
        <v>15150</v>
      </c>
      <c r="R683" s="41" t="s">
        <v>11</v>
      </c>
      <c r="S683" s="43"/>
      <c r="T683" s="43"/>
      <c r="U683" s="41"/>
      <c r="V683" s="41"/>
      <c r="W683" s="41"/>
      <c r="X683" s="41"/>
      <c r="Y683" s="41"/>
      <c r="Z683" s="492"/>
      <c r="AA683" s="533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</row>
    <row r="684" spans="1:46" s="2" customFormat="1" x14ac:dyDescent="0.25">
      <c r="A684" s="26"/>
      <c r="B684" s="26" t="s">
        <v>96</v>
      </c>
      <c r="C684" s="306"/>
      <c r="D684" s="33" t="s">
        <v>3</v>
      </c>
      <c r="E684" s="34">
        <v>40862</v>
      </c>
      <c r="F684" s="34" t="s">
        <v>351</v>
      </c>
      <c r="G684" s="35" t="s">
        <v>371</v>
      </c>
      <c r="H684" s="35">
        <v>31292193</v>
      </c>
      <c r="I684" s="35">
        <v>530000</v>
      </c>
      <c r="J684" s="2" t="s">
        <v>1</v>
      </c>
      <c r="K684" s="27">
        <v>66300</v>
      </c>
      <c r="L684" s="4">
        <v>0</v>
      </c>
      <c r="M684" s="4">
        <v>26300</v>
      </c>
      <c r="N684" s="4">
        <v>20000</v>
      </c>
      <c r="O684" s="4">
        <v>20000</v>
      </c>
      <c r="P684" s="367" t="s">
        <v>11</v>
      </c>
      <c r="Q684" s="283"/>
      <c r="R684" s="283"/>
      <c r="S684" s="283"/>
      <c r="T684" s="283"/>
      <c r="Z684" s="490"/>
      <c r="AA684" s="60"/>
    </row>
    <row r="685" spans="1:46" s="2" customFormat="1" x14ac:dyDescent="0.25">
      <c r="A685" s="26"/>
      <c r="B685" s="26"/>
      <c r="C685" s="306"/>
      <c r="D685" s="33"/>
      <c r="E685" s="34" t="s">
        <v>12</v>
      </c>
      <c r="F685" s="34"/>
      <c r="G685" s="35" t="s">
        <v>541</v>
      </c>
      <c r="H685" s="35"/>
      <c r="I685" s="35"/>
      <c r="J685" s="17" t="s">
        <v>2</v>
      </c>
      <c r="K685" s="28">
        <v>2526</v>
      </c>
      <c r="L685" s="11">
        <v>663</v>
      </c>
      <c r="M685" s="11">
        <v>1063</v>
      </c>
      <c r="N685" s="11">
        <f>400+200</f>
        <v>600</v>
      </c>
      <c r="O685" s="11">
        <v>200</v>
      </c>
      <c r="P685" s="368" t="s">
        <v>11</v>
      </c>
      <c r="Q685" s="142"/>
      <c r="R685" s="142"/>
      <c r="S685" s="142"/>
      <c r="T685" s="142"/>
      <c r="U685" s="17"/>
      <c r="V685" s="17"/>
      <c r="W685" s="17"/>
      <c r="X685" s="17"/>
      <c r="Y685" s="17"/>
      <c r="Z685" s="491"/>
      <c r="AA685" s="532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</row>
    <row r="686" spans="1:46" s="6" customFormat="1" ht="13.8" thickBot="1" x14ac:dyDescent="0.3">
      <c r="A686" s="120"/>
      <c r="B686" s="120"/>
      <c r="C686" s="307"/>
      <c r="D686" s="85"/>
      <c r="E686" s="86" t="s">
        <v>40</v>
      </c>
      <c r="F686" s="86" t="s">
        <v>410</v>
      </c>
      <c r="G686" s="145" t="s">
        <v>540</v>
      </c>
      <c r="H686" s="147"/>
      <c r="I686" s="147"/>
      <c r="J686" s="41" t="s">
        <v>6</v>
      </c>
      <c r="K686" s="42">
        <f>K685+K684</f>
        <v>68826</v>
      </c>
      <c r="L686" s="43">
        <f>L685+L684</f>
        <v>663</v>
      </c>
      <c r="M686" s="43">
        <f>M685+M684</f>
        <v>27363</v>
      </c>
      <c r="N686" s="43">
        <f>N685+N684</f>
        <v>20600</v>
      </c>
      <c r="O686" s="43">
        <f>O685+O684</f>
        <v>20200</v>
      </c>
      <c r="P686" s="41" t="s">
        <v>11</v>
      </c>
      <c r="Q686" s="43"/>
      <c r="R686" s="43"/>
      <c r="S686" s="43"/>
      <c r="T686" s="43"/>
      <c r="U686" s="41"/>
      <c r="V686" s="41"/>
      <c r="W686" s="41"/>
      <c r="X686" s="41"/>
      <c r="Y686" s="41"/>
      <c r="Z686" s="492"/>
      <c r="AA686" s="533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</row>
    <row r="687" spans="1:46" s="2" customFormat="1" x14ac:dyDescent="0.25">
      <c r="A687" s="26" t="s">
        <v>102</v>
      </c>
      <c r="B687" s="26" t="s">
        <v>96</v>
      </c>
      <c r="C687" s="306"/>
      <c r="D687" s="33" t="s">
        <v>3</v>
      </c>
      <c r="E687" s="34">
        <v>40862</v>
      </c>
      <c r="F687" s="34" t="s">
        <v>258</v>
      </c>
      <c r="G687" s="35" t="s">
        <v>157</v>
      </c>
      <c r="H687" s="35">
        <v>31122230</v>
      </c>
      <c r="I687" s="35">
        <v>587009</v>
      </c>
      <c r="J687" s="2" t="s">
        <v>1</v>
      </c>
      <c r="K687" s="27">
        <v>98835</v>
      </c>
      <c r="L687" s="4">
        <v>0</v>
      </c>
      <c r="M687" s="4">
        <v>23835</v>
      </c>
      <c r="N687" s="4">
        <v>20000</v>
      </c>
      <c r="O687" s="4">
        <v>20000</v>
      </c>
      <c r="P687" s="283">
        <v>20000</v>
      </c>
      <c r="Q687" s="283">
        <v>15000</v>
      </c>
      <c r="R687" s="367" t="s">
        <v>11</v>
      </c>
      <c r="S687" s="367"/>
      <c r="T687" s="283"/>
      <c r="U687" s="283"/>
      <c r="Z687" s="490"/>
      <c r="AA687" s="60"/>
    </row>
    <row r="688" spans="1:46" s="2" customFormat="1" x14ac:dyDescent="0.25">
      <c r="A688" s="26"/>
      <c r="B688" s="26"/>
      <c r="C688" s="306"/>
      <c r="D688" s="33"/>
      <c r="E688" s="34" t="s">
        <v>12</v>
      </c>
      <c r="F688" s="34"/>
      <c r="G688" s="35" t="s">
        <v>156</v>
      </c>
      <c r="H688" s="35"/>
      <c r="I688" s="35"/>
      <c r="J688" s="17" t="s">
        <v>2</v>
      </c>
      <c r="K688" s="28">
        <v>5576.7</v>
      </c>
      <c r="L688" s="11">
        <v>988.35</v>
      </c>
      <c r="M688" s="11">
        <v>1738.35</v>
      </c>
      <c r="N688" s="11">
        <f>750+550</f>
        <v>1300</v>
      </c>
      <c r="O688" s="11">
        <f>550+350</f>
        <v>900</v>
      </c>
      <c r="P688" s="142">
        <f>350+150</f>
        <v>500</v>
      </c>
      <c r="Q688" s="142">
        <v>150</v>
      </c>
      <c r="R688" s="368" t="s">
        <v>11</v>
      </c>
      <c r="S688" s="368"/>
      <c r="T688" s="142"/>
      <c r="U688" s="142"/>
      <c r="V688" s="17"/>
      <c r="W688" s="17"/>
      <c r="X688" s="17"/>
      <c r="Y688" s="17"/>
      <c r="Z688" s="491"/>
      <c r="AA688" s="532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</row>
    <row r="689" spans="1:46" s="6" customFormat="1" ht="13.8" thickBot="1" x14ac:dyDescent="0.3">
      <c r="A689" s="120"/>
      <c r="B689" s="120"/>
      <c r="C689" s="307"/>
      <c r="D689" s="85"/>
      <c r="E689" s="86" t="s">
        <v>160</v>
      </c>
      <c r="F689" s="86" t="s">
        <v>410</v>
      </c>
      <c r="G689" s="125"/>
      <c r="H689" s="125"/>
      <c r="I689" s="125"/>
      <c r="J689" s="41" t="s">
        <v>6</v>
      </c>
      <c r="K689" s="42">
        <f>K688+K687</f>
        <v>104411.7</v>
      </c>
      <c r="L689" s="43">
        <f>L688+L687</f>
        <v>988.35</v>
      </c>
      <c r="M689" s="43">
        <f t="shared" ref="M689:P689" si="497">M688+M687</f>
        <v>25573.35</v>
      </c>
      <c r="N689" s="43">
        <f t="shared" si="497"/>
        <v>21300</v>
      </c>
      <c r="O689" s="43">
        <f t="shared" si="497"/>
        <v>20900</v>
      </c>
      <c r="P689" s="43">
        <f t="shared" si="497"/>
        <v>20500</v>
      </c>
      <c r="Q689" s="43">
        <f t="shared" ref="Q689" si="498">Q688+Q687</f>
        <v>15150</v>
      </c>
      <c r="R689" s="41" t="s">
        <v>11</v>
      </c>
      <c r="S689" s="41"/>
      <c r="T689" s="43"/>
      <c r="U689" s="43"/>
      <c r="V689" s="41"/>
      <c r="W689" s="41"/>
      <c r="X689" s="41"/>
      <c r="Y689" s="41"/>
      <c r="Z689" s="492"/>
      <c r="AA689" s="533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</row>
    <row r="690" spans="1:46" s="2" customFormat="1" x14ac:dyDescent="0.25">
      <c r="A690" s="26" t="s">
        <v>102</v>
      </c>
      <c r="B690" s="26" t="s">
        <v>96</v>
      </c>
      <c r="C690" s="306"/>
      <c r="D690" s="33" t="s">
        <v>3</v>
      </c>
      <c r="E690" s="34">
        <v>40862</v>
      </c>
      <c r="F690" s="34" t="s">
        <v>258</v>
      </c>
      <c r="G690" s="35" t="s">
        <v>358</v>
      </c>
      <c r="H690" s="35">
        <v>31210240</v>
      </c>
      <c r="I690" s="35">
        <v>585100</v>
      </c>
      <c r="J690" s="2" t="s">
        <v>1</v>
      </c>
      <c r="K690" s="27">
        <v>150000</v>
      </c>
      <c r="L690" s="4">
        <v>0</v>
      </c>
      <c r="M690" s="4">
        <v>30000</v>
      </c>
      <c r="N690" s="4">
        <v>30000</v>
      </c>
      <c r="O690" s="4">
        <v>30000</v>
      </c>
      <c r="P690" s="283">
        <v>30000</v>
      </c>
      <c r="Q690" s="283">
        <v>30000</v>
      </c>
      <c r="R690" s="367" t="s">
        <v>11</v>
      </c>
      <c r="S690" s="283"/>
      <c r="T690" s="283"/>
      <c r="U690" s="283"/>
      <c r="V690" s="283"/>
      <c r="W690" s="283"/>
      <c r="X690" s="283"/>
      <c r="Y690" s="283"/>
      <c r="Z690" s="497"/>
      <c r="AA690" s="536"/>
      <c r="AB690" s="5"/>
      <c r="AC690" s="135"/>
    </row>
    <row r="691" spans="1:46" s="2" customFormat="1" x14ac:dyDescent="0.25">
      <c r="A691" s="26"/>
      <c r="B691" s="26"/>
      <c r="C691" s="306"/>
      <c r="D691" s="33"/>
      <c r="E691" s="34" t="s">
        <v>12</v>
      </c>
      <c r="F691" s="34"/>
      <c r="G691" s="35" t="s">
        <v>158</v>
      </c>
      <c r="H691" s="35"/>
      <c r="I691" s="35"/>
      <c r="J691" s="17" t="s">
        <v>2</v>
      </c>
      <c r="K691" s="28">
        <v>9000</v>
      </c>
      <c r="L691" s="11">
        <v>1500</v>
      </c>
      <c r="M691" s="11">
        <v>2700</v>
      </c>
      <c r="N691" s="11">
        <f>1200+900</f>
        <v>2100</v>
      </c>
      <c r="O691" s="11">
        <f>900+600</f>
        <v>1500</v>
      </c>
      <c r="P691" s="142">
        <f>600+300</f>
        <v>900</v>
      </c>
      <c r="Q691" s="142">
        <v>300</v>
      </c>
      <c r="R691" s="368" t="s">
        <v>11</v>
      </c>
      <c r="S691" s="142"/>
      <c r="T691" s="142"/>
      <c r="U691" s="142"/>
      <c r="V691" s="142"/>
      <c r="W691" s="142"/>
      <c r="X691" s="142"/>
      <c r="Y691" s="142"/>
      <c r="Z691" s="500"/>
      <c r="AA691" s="539"/>
      <c r="AB691" s="21"/>
      <c r="AC691" s="136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</row>
    <row r="692" spans="1:46" s="6" customFormat="1" ht="13.8" thickBot="1" x14ac:dyDescent="0.3">
      <c r="A692" s="120"/>
      <c r="B692" s="120"/>
      <c r="C692" s="307"/>
      <c r="D692" s="85"/>
      <c r="E692" s="86" t="s">
        <v>160</v>
      </c>
      <c r="F692" s="86" t="s">
        <v>410</v>
      </c>
      <c r="G692" s="125"/>
      <c r="H692" s="125"/>
      <c r="I692" s="125"/>
      <c r="J692" s="41" t="s">
        <v>6</v>
      </c>
      <c r="K692" s="42">
        <f>K691+K690</f>
        <v>159000</v>
      </c>
      <c r="L692" s="43">
        <f>L691+L690</f>
        <v>1500</v>
      </c>
      <c r="M692" s="43">
        <f t="shared" ref="M692:N692" si="499">M691+M690</f>
        <v>32700</v>
      </c>
      <c r="N692" s="43">
        <f t="shared" si="499"/>
        <v>32100</v>
      </c>
      <c r="O692" s="43">
        <f>O691+O690</f>
        <v>31500</v>
      </c>
      <c r="P692" s="43">
        <f>P691+P690</f>
        <v>30900</v>
      </c>
      <c r="Q692" s="43">
        <f>Q691+Q690</f>
        <v>30300</v>
      </c>
      <c r="R692" s="41" t="s">
        <v>11</v>
      </c>
      <c r="S692" s="43"/>
      <c r="T692" s="43"/>
      <c r="U692" s="43"/>
      <c r="V692" s="43"/>
      <c r="W692" s="43"/>
      <c r="X692" s="43"/>
      <c r="Y692" s="43"/>
      <c r="Z692" s="499"/>
      <c r="AA692" s="538"/>
      <c r="AB692" s="43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</row>
    <row r="693" spans="1:46" s="2" customFormat="1" x14ac:dyDescent="0.25">
      <c r="A693" s="26" t="s">
        <v>102</v>
      </c>
      <c r="B693" s="26" t="s">
        <v>96</v>
      </c>
      <c r="C693" s="306"/>
      <c r="D693" s="33" t="s">
        <v>3</v>
      </c>
      <c r="E693" s="34">
        <v>40862</v>
      </c>
      <c r="F693" s="34" t="s">
        <v>258</v>
      </c>
      <c r="G693" s="35" t="s">
        <v>394</v>
      </c>
      <c r="H693" s="35">
        <v>31422241</v>
      </c>
      <c r="I693" s="35">
        <v>585100</v>
      </c>
      <c r="J693" s="2" t="s">
        <v>1</v>
      </c>
      <c r="K693" s="27">
        <v>185000</v>
      </c>
      <c r="L693" s="4">
        <v>0</v>
      </c>
      <c r="M693" s="4">
        <v>40000</v>
      </c>
      <c r="N693" s="4">
        <v>40000</v>
      </c>
      <c r="O693" s="4">
        <v>35000</v>
      </c>
      <c r="P693" s="4">
        <v>35000</v>
      </c>
      <c r="Q693" s="283">
        <v>35000</v>
      </c>
      <c r="R693" s="367" t="s">
        <v>11</v>
      </c>
      <c r="S693" s="283"/>
      <c r="T693" s="283"/>
      <c r="Z693" s="490"/>
      <c r="AA693" s="60"/>
    </row>
    <row r="694" spans="1:46" s="2" customFormat="1" x14ac:dyDescent="0.25">
      <c r="A694" s="26"/>
      <c r="B694" s="26"/>
      <c r="C694" s="306"/>
      <c r="D694" s="33"/>
      <c r="E694" s="34" t="s">
        <v>12</v>
      </c>
      <c r="F694" s="34"/>
      <c r="G694" s="35" t="s">
        <v>159</v>
      </c>
      <c r="H694" s="35"/>
      <c r="I694" s="35"/>
      <c r="J694" s="17" t="s">
        <v>2</v>
      </c>
      <c r="K694" s="28">
        <v>10800</v>
      </c>
      <c r="L694" s="11">
        <v>1850</v>
      </c>
      <c r="M694" s="11">
        <v>3300</v>
      </c>
      <c r="N694" s="11">
        <f>1450+1050</f>
        <v>2500</v>
      </c>
      <c r="O694" s="11">
        <f>1050+700</f>
        <v>1750</v>
      </c>
      <c r="P694" s="11">
        <f>700+350</f>
        <v>1050</v>
      </c>
      <c r="Q694" s="142">
        <v>350</v>
      </c>
      <c r="R694" s="368" t="s">
        <v>11</v>
      </c>
      <c r="S694" s="142"/>
      <c r="T694" s="142"/>
      <c r="U694" s="17"/>
      <c r="V694" s="17"/>
      <c r="W694" s="17"/>
      <c r="X694" s="17"/>
      <c r="Y694" s="17"/>
      <c r="Z694" s="491"/>
      <c r="AA694" s="532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</row>
    <row r="695" spans="1:46" s="6" customFormat="1" ht="13.8" thickBot="1" x14ac:dyDescent="0.3">
      <c r="A695" s="120"/>
      <c r="B695" s="120"/>
      <c r="C695" s="307"/>
      <c r="D695" s="85"/>
      <c r="E695" s="86" t="s">
        <v>160</v>
      </c>
      <c r="F695" s="86" t="s">
        <v>410</v>
      </c>
      <c r="G695" s="125"/>
      <c r="H695" s="125"/>
      <c r="I695" s="125"/>
      <c r="J695" s="41" t="s">
        <v>6</v>
      </c>
      <c r="K695" s="42">
        <f>K694+K693</f>
        <v>195800</v>
      </c>
      <c r="L695" s="43">
        <f>L694+L693</f>
        <v>1850</v>
      </c>
      <c r="M695" s="43">
        <f>M694+M693</f>
        <v>43300</v>
      </c>
      <c r="N695" s="43">
        <f t="shared" ref="N695:P695" si="500">N694+N693</f>
        <v>42500</v>
      </c>
      <c r="O695" s="43">
        <f t="shared" si="500"/>
        <v>36750</v>
      </c>
      <c r="P695" s="43">
        <f t="shared" si="500"/>
        <v>36050</v>
      </c>
      <c r="Q695" s="43">
        <f>Q694+Q693</f>
        <v>35350</v>
      </c>
      <c r="R695" s="41" t="s">
        <v>11</v>
      </c>
      <c r="S695" s="43"/>
      <c r="T695" s="43"/>
      <c r="U695" s="41"/>
      <c r="V695" s="41"/>
      <c r="W695" s="41"/>
      <c r="X695" s="41"/>
      <c r="Y695" s="41"/>
      <c r="Z695" s="492"/>
      <c r="AA695" s="533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</row>
    <row r="696" spans="1:46" s="2" customFormat="1" x14ac:dyDescent="0.25">
      <c r="A696" s="26" t="s">
        <v>95</v>
      </c>
      <c r="B696" s="26" t="s">
        <v>96</v>
      </c>
      <c r="C696" s="306"/>
      <c r="D696" s="33" t="s">
        <v>3</v>
      </c>
      <c r="E696" s="34">
        <v>40862</v>
      </c>
      <c r="F696" s="34" t="s">
        <v>269</v>
      </c>
      <c r="G696" s="35" t="s">
        <v>365</v>
      </c>
      <c r="H696" s="35">
        <v>31139236</v>
      </c>
      <c r="I696" s="35">
        <v>582014</v>
      </c>
      <c r="J696" s="2" t="s">
        <v>1</v>
      </c>
      <c r="K696" s="27">
        <v>486000</v>
      </c>
      <c r="L696" s="4">
        <v>0</v>
      </c>
      <c r="M696" s="4">
        <v>51000</v>
      </c>
      <c r="N696" s="4">
        <v>50000</v>
      </c>
      <c r="O696" s="4">
        <v>50000</v>
      </c>
      <c r="P696" s="4">
        <v>50000</v>
      </c>
      <c r="Q696" s="4">
        <v>50000</v>
      </c>
      <c r="R696" s="4">
        <v>50000</v>
      </c>
      <c r="S696" s="4">
        <v>50000</v>
      </c>
      <c r="T696" s="4">
        <v>45000</v>
      </c>
      <c r="U696" s="4">
        <v>45000</v>
      </c>
      <c r="V696" s="4">
        <v>45000</v>
      </c>
      <c r="W696" s="2" t="s">
        <v>11</v>
      </c>
      <c r="Z696" s="490"/>
      <c r="AA696" s="60"/>
    </row>
    <row r="697" spans="1:46" s="2" customFormat="1" x14ac:dyDescent="0.25">
      <c r="A697" s="400" t="s">
        <v>973</v>
      </c>
      <c r="B697" s="26"/>
      <c r="C697" s="306"/>
      <c r="D697" s="33"/>
      <c r="E697" s="34" t="s">
        <v>12</v>
      </c>
      <c r="F697" s="34"/>
      <c r="G697" s="35" t="s">
        <v>844</v>
      </c>
      <c r="H697" s="35"/>
      <c r="I697" s="35"/>
      <c r="J697" s="17" t="s">
        <v>2</v>
      </c>
      <c r="K697" s="28">
        <v>69220</v>
      </c>
      <c r="L697" s="11">
        <v>5910</v>
      </c>
      <c r="M697" s="11">
        <v>11310</v>
      </c>
      <c r="N697" s="11">
        <f>5400+4900</f>
        <v>10300</v>
      </c>
      <c r="O697" s="11">
        <f>4900+4400</f>
        <v>9300</v>
      </c>
      <c r="P697" s="11">
        <f>4400+3900</f>
        <v>8300</v>
      </c>
      <c r="Q697" s="11">
        <f>3900+3400</f>
        <v>7300</v>
      </c>
      <c r="R697" s="11">
        <f>3400+2650</f>
        <v>6050</v>
      </c>
      <c r="S697" s="11">
        <f>2650+2025</f>
        <v>4675</v>
      </c>
      <c r="T697" s="11">
        <f>2025+1350</f>
        <v>3375</v>
      </c>
      <c r="U697" s="11">
        <f>1350+675</f>
        <v>2025</v>
      </c>
      <c r="V697" s="11">
        <v>675</v>
      </c>
      <c r="W697" s="17" t="s">
        <v>11</v>
      </c>
      <c r="X697" s="17"/>
      <c r="Y697" s="17"/>
      <c r="Z697" s="491"/>
      <c r="AA697" s="532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</row>
    <row r="698" spans="1:46" s="6" customFormat="1" ht="13.8" thickBot="1" x14ac:dyDescent="0.3">
      <c r="A698" s="409" t="s">
        <v>1119</v>
      </c>
      <c r="B698" s="120"/>
      <c r="C698" s="307"/>
      <c r="D698" s="85"/>
      <c r="E698" s="86" t="s">
        <v>161</v>
      </c>
      <c r="F698" s="86" t="s">
        <v>410</v>
      </c>
      <c r="G698" s="125" t="s">
        <v>848</v>
      </c>
      <c r="H698" s="141"/>
      <c r="I698" s="141"/>
      <c r="J698" s="41" t="s">
        <v>6</v>
      </c>
      <c r="K698" s="42">
        <f>K697+K696</f>
        <v>555220</v>
      </c>
      <c r="L698" s="43">
        <f>L697+L696</f>
        <v>5910</v>
      </c>
      <c r="M698" s="43">
        <f>M697+M696</f>
        <v>62310</v>
      </c>
      <c r="N698" s="43">
        <f t="shared" ref="N698:V698" si="501">N697+N696</f>
        <v>60300</v>
      </c>
      <c r="O698" s="43">
        <f t="shared" si="501"/>
        <v>59300</v>
      </c>
      <c r="P698" s="43">
        <f t="shared" si="501"/>
        <v>58300</v>
      </c>
      <c r="Q698" s="43">
        <f t="shared" si="501"/>
        <v>57300</v>
      </c>
      <c r="R698" s="43">
        <f t="shared" si="501"/>
        <v>56050</v>
      </c>
      <c r="S698" s="43">
        <f t="shared" si="501"/>
        <v>54675</v>
      </c>
      <c r="T698" s="43">
        <f t="shared" si="501"/>
        <v>48375</v>
      </c>
      <c r="U698" s="43">
        <f t="shared" si="501"/>
        <v>47025</v>
      </c>
      <c r="V698" s="43">
        <f t="shared" si="501"/>
        <v>45675</v>
      </c>
      <c r="W698" s="41" t="s">
        <v>11</v>
      </c>
      <c r="X698" s="41"/>
      <c r="Y698" s="41"/>
      <c r="Z698" s="492"/>
      <c r="AA698" s="533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</row>
    <row r="699" spans="1:46" s="2" customFormat="1" x14ac:dyDescent="0.25">
      <c r="A699" s="26" t="s">
        <v>95</v>
      </c>
      <c r="B699" s="26" t="s">
        <v>96</v>
      </c>
      <c r="C699" s="306"/>
      <c r="D699" s="33" t="s">
        <v>3</v>
      </c>
      <c r="E699" s="34">
        <v>40862</v>
      </c>
      <c r="F699" s="34" t="s">
        <v>269</v>
      </c>
      <c r="G699" s="35" t="s">
        <v>132</v>
      </c>
      <c r="H699" s="35">
        <v>31300230</v>
      </c>
      <c r="I699" s="35">
        <v>582009</v>
      </c>
      <c r="J699" s="2" t="s">
        <v>1</v>
      </c>
      <c r="K699" s="27">
        <v>81517</v>
      </c>
      <c r="L699" s="4">
        <v>0</v>
      </c>
      <c r="M699" s="4">
        <v>11517</v>
      </c>
      <c r="N699" s="4">
        <v>10000</v>
      </c>
      <c r="O699" s="4">
        <v>10000</v>
      </c>
      <c r="P699" s="4">
        <v>10000</v>
      </c>
      <c r="Q699" s="4">
        <v>10000</v>
      </c>
      <c r="R699" s="4">
        <v>10000</v>
      </c>
      <c r="S699" s="4">
        <v>5000</v>
      </c>
      <c r="T699" s="4">
        <v>5000</v>
      </c>
      <c r="U699" s="4">
        <v>5000</v>
      </c>
      <c r="V699" s="4">
        <v>5000</v>
      </c>
      <c r="W699" s="2" t="s">
        <v>11</v>
      </c>
      <c r="Z699" s="490"/>
      <c r="AA699" s="60"/>
    </row>
    <row r="700" spans="1:46" s="2" customFormat="1" x14ac:dyDescent="0.25">
      <c r="A700" s="400" t="s">
        <v>974</v>
      </c>
      <c r="B700" s="26"/>
      <c r="C700" s="306"/>
      <c r="D700" s="33"/>
      <c r="E700" s="34" t="s">
        <v>12</v>
      </c>
      <c r="F700" s="34"/>
      <c r="G700" s="35" t="s">
        <v>163</v>
      </c>
      <c r="H700" s="35"/>
      <c r="I700" s="35"/>
      <c r="J700" s="17" t="s">
        <v>2</v>
      </c>
      <c r="K700" s="28">
        <v>9755.34</v>
      </c>
      <c r="L700" s="11">
        <v>952.67</v>
      </c>
      <c r="M700" s="11">
        <v>1790.17</v>
      </c>
      <c r="N700" s="11">
        <f>837.5+737.5</f>
        <v>1575</v>
      </c>
      <c r="O700" s="11">
        <f>737.5+637.5</f>
        <v>1375</v>
      </c>
      <c r="P700" s="11">
        <f>637.5+537.5</f>
        <v>1175</v>
      </c>
      <c r="Q700" s="11">
        <f>537.5+437.5</f>
        <v>975</v>
      </c>
      <c r="R700" s="11">
        <f>437.5+287.5</f>
        <v>725</v>
      </c>
      <c r="S700" s="11">
        <f>287.5+225</f>
        <v>512.5</v>
      </c>
      <c r="T700" s="11">
        <f>225+150</f>
        <v>375</v>
      </c>
      <c r="U700" s="11">
        <f>150+75</f>
        <v>225</v>
      </c>
      <c r="V700" s="11">
        <v>75</v>
      </c>
      <c r="W700" s="17" t="s">
        <v>11</v>
      </c>
      <c r="X700" s="17"/>
      <c r="Y700" s="17"/>
      <c r="Z700" s="491"/>
      <c r="AA700" s="532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</row>
    <row r="701" spans="1:46" s="6" customFormat="1" ht="13.8" thickBot="1" x14ac:dyDescent="0.3">
      <c r="A701" s="409" t="s">
        <v>1119</v>
      </c>
      <c r="B701" s="120"/>
      <c r="C701" s="307"/>
      <c r="D701" s="85"/>
      <c r="E701" s="86" t="s">
        <v>161</v>
      </c>
      <c r="F701" s="86" t="s">
        <v>410</v>
      </c>
      <c r="G701" s="125"/>
      <c r="H701" s="125"/>
      <c r="I701" s="125"/>
      <c r="J701" s="41" t="s">
        <v>6</v>
      </c>
      <c r="K701" s="42">
        <f t="shared" ref="K701:V701" si="502">K700+K699</f>
        <v>91272.34</v>
      </c>
      <c r="L701" s="43">
        <f t="shared" si="502"/>
        <v>952.67</v>
      </c>
      <c r="M701" s="43">
        <f t="shared" si="502"/>
        <v>13307.17</v>
      </c>
      <c r="N701" s="43">
        <f t="shared" si="502"/>
        <v>11575</v>
      </c>
      <c r="O701" s="43">
        <f t="shared" si="502"/>
        <v>11375</v>
      </c>
      <c r="P701" s="43">
        <f t="shared" si="502"/>
        <v>11175</v>
      </c>
      <c r="Q701" s="43">
        <f t="shared" si="502"/>
        <v>10975</v>
      </c>
      <c r="R701" s="43">
        <f t="shared" si="502"/>
        <v>10725</v>
      </c>
      <c r="S701" s="43">
        <f t="shared" si="502"/>
        <v>5512.5</v>
      </c>
      <c r="T701" s="43">
        <f t="shared" si="502"/>
        <v>5375</v>
      </c>
      <c r="U701" s="43">
        <f t="shared" si="502"/>
        <v>5225</v>
      </c>
      <c r="V701" s="43">
        <f t="shared" si="502"/>
        <v>5075</v>
      </c>
      <c r="W701" s="41" t="s">
        <v>11</v>
      </c>
      <c r="X701" s="41"/>
      <c r="Y701" s="41"/>
      <c r="Z701" s="492"/>
      <c r="AA701" s="533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</row>
    <row r="702" spans="1:46" s="2" customFormat="1" x14ac:dyDescent="0.25">
      <c r="A702" s="26" t="s">
        <v>101</v>
      </c>
      <c r="B702" s="26" t="s">
        <v>96</v>
      </c>
      <c r="C702" s="306"/>
      <c r="D702" s="33" t="s">
        <v>3</v>
      </c>
      <c r="E702" s="34">
        <v>40862</v>
      </c>
      <c r="F702" s="34" t="s">
        <v>269</v>
      </c>
      <c r="G702" s="35" t="s">
        <v>164</v>
      </c>
      <c r="H702" s="35">
        <v>31122241</v>
      </c>
      <c r="I702" s="35">
        <v>584007</v>
      </c>
      <c r="J702" s="2" t="s">
        <v>1</v>
      </c>
      <c r="K702" s="138">
        <v>220000</v>
      </c>
      <c r="L702" s="4">
        <v>0</v>
      </c>
      <c r="M702" s="4">
        <v>25000</v>
      </c>
      <c r="N702" s="4">
        <v>25000</v>
      </c>
      <c r="O702" s="4">
        <v>25000</v>
      </c>
      <c r="P702" s="4">
        <v>25000</v>
      </c>
      <c r="Q702" s="4">
        <v>20000</v>
      </c>
      <c r="R702" s="4">
        <v>20000</v>
      </c>
      <c r="S702" s="4">
        <v>20000</v>
      </c>
      <c r="T702" s="4">
        <v>20000</v>
      </c>
      <c r="U702" s="4">
        <v>20000</v>
      </c>
      <c r="V702" s="4">
        <v>20000</v>
      </c>
      <c r="W702" s="2" t="s">
        <v>11</v>
      </c>
      <c r="Z702" s="490"/>
      <c r="AA702" s="60"/>
    </row>
    <row r="703" spans="1:46" s="2" customFormat="1" x14ac:dyDescent="0.25">
      <c r="A703" s="400" t="s">
        <v>975</v>
      </c>
      <c r="B703" s="26"/>
      <c r="C703" s="306"/>
      <c r="D703" s="33"/>
      <c r="E703" s="34" t="s">
        <v>12</v>
      </c>
      <c r="F703" s="34"/>
      <c r="G703" s="35" t="s">
        <v>617</v>
      </c>
      <c r="H703" s="35"/>
      <c r="I703" s="35"/>
      <c r="J703" s="17" t="s">
        <v>2</v>
      </c>
      <c r="K703" s="28">
        <v>30300</v>
      </c>
      <c r="L703" s="11">
        <v>2650</v>
      </c>
      <c r="M703" s="11">
        <v>5050</v>
      </c>
      <c r="N703" s="11">
        <f>2400+2150</f>
        <v>4550</v>
      </c>
      <c r="O703" s="11">
        <f>2150+1900</f>
        <v>4050</v>
      </c>
      <c r="P703" s="11">
        <f>1900+1650</f>
        <v>3550</v>
      </c>
      <c r="Q703" s="11">
        <f>1650+1450</f>
        <v>3100</v>
      </c>
      <c r="R703" s="11">
        <f>1450+1150</f>
        <v>2600</v>
      </c>
      <c r="S703" s="11">
        <f>1150+900</f>
        <v>2050</v>
      </c>
      <c r="T703" s="11">
        <f>900+600</f>
        <v>1500</v>
      </c>
      <c r="U703" s="11">
        <f>600+300</f>
        <v>900</v>
      </c>
      <c r="V703" s="11">
        <v>300</v>
      </c>
      <c r="W703" s="17" t="s">
        <v>11</v>
      </c>
      <c r="X703" s="17"/>
      <c r="Y703" s="17"/>
      <c r="Z703" s="491"/>
      <c r="AA703" s="532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</row>
    <row r="704" spans="1:46" s="6" customFormat="1" ht="13.8" thickBot="1" x14ac:dyDescent="0.3">
      <c r="A704" s="409" t="s">
        <v>1119</v>
      </c>
      <c r="B704" s="120"/>
      <c r="C704" s="307"/>
      <c r="D704" s="85"/>
      <c r="E704" s="86" t="s">
        <v>40</v>
      </c>
      <c r="F704" s="86" t="s">
        <v>410</v>
      </c>
      <c r="G704" s="125" t="s">
        <v>615</v>
      </c>
      <c r="H704" s="125"/>
      <c r="I704" s="125"/>
      <c r="J704" s="41" t="s">
        <v>6</v>
      </c>
      <c r="K704" s="42">
        <f>K703+K702</f>
        <v>250300</v>
      </c>
      <c r="L704" s="43">
        <f>L703+L702</f>
        <v>2650</v>
      </c>
      <c r="M704" s="43">
        <f t="shared" ref="M704:V704" si="503">M703+M702</f>
        <v>30050</v>
      </c>
      <c r="N704" s="43">
        <f t="shared" si="503"/>
        <v>29550</v>
      </c>
      <c r="O704" s="43">
        <f t="shared" si="503"/>
        <v>29050</v>
      </c>
      <c r="P704" s="43">
        <f t="shared" si="503"/>
        <v>28550</v>
      </c>
      <c r="Q704" s="43">
        <f t="shared" si="503"/>
        <v>23100</v>
      </c>
      <c r="R704" s="43">
        <f t="shared" si="503"/>
        <v>22600</v>
      </c>
      <c r="S704" s="43">
        <f t="shared" si="503"/>
        <v>22050</v>
      </c>
      <c r="T704" s="43">
        <f t="shared" si="503"/>
        <v>21500</v>
      </c>
      <c r="U704" s="43">
        <f t="shared" si="503"/>
        <v>20900</v>
      </c>
      <c r="V704" s="43">
        <f t="shared" si="503"/>
        <v>20300</v>
      </c>
      <c r="W704" s="41" t="s">
        <v>11</v>
      </c>
      <c r="X704" s="41"/>
      <c r="Y704" s="41"/>
      <c r="Z704" s="492"/>
      <c r="AA704" s="533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</row>
    <row r="705" spans="1:46" s="3" customFormat="1" x14ac:dyDescent="0.25">
      <c r="A705" s="121"/>
      <c r="B705" s="121"/>
      <c r="C705" s="306"/>
      <c r="D705" s="54"/>
      <c r="E705" s="54"/>
      <c r="F705" s="54"/>
      <c r="G705" s="36" t="s">
        <v>32</v>
      </c>
      <c r="H705" s="152">
        <v>1773519</v>
      </c>
      <c r="I705" s="36">
        <v>591100</v>
      </c>
      <c r="J705" s="33" t="s">
        <v>1</v>
      </c>
      <c r="K705" s="37">
        <f>K702+K699+K696+K693+K690+K687+K684+K681+K678+K675</f>
        <v>1777736</v>
      </c>
      <c r="L705" s="67">
        <f>L702+L699+L696+L693+L690+L687+L684+L681+L678+L675</f>
        <v>0</v>
      </c>
      <c r="M705" s="67">
        <f>M702+M699+M696+M693+M690+M687+M684+M681+M678+M675</f>
        <v>282736</v>
      </c>
      <c r="N705" s="67">
        <f>N702+N699+N696+N693+N690+N687+N684+N681+N678+N675</f>
        <v>260000</v>
      </c>
      <c r="O705" s="67">
        <f>O702+O699+O696+O693+O690+O687+O684+O681+O678+O675</f>
        <v>250000</v>
      </c>
      <c r="P705" s="67">
        <f>P702+P699+P696+P693+P690+P687+P681+P678+P675</f>
        <v>230000</v>
      </c>
      <c r="Q705" s="67">
        <f>Q702+Q699+Q696+Q693+Q690+Q687+Q681+Q678+Q675</f>
        <v>220000</v>
      </c>
      <c r="R705" s="67">
        <f>R702+R699+R696+R678+R675</f>
        <v>125000</v>
      </c>
      <c r="S705" s="67">
        <f>S702+S699+S696+S675</f>
        <v>110000</v>
      </c>
      <c r="T705" s="67">
        <f t="shared" ref="T705:U705" si="504">T702+T699+T696+T675</f>
        <v>100000</v>
      </c>
      <c r="U705" s="67">
        <f t="shared" si="504"/>
        <v>100000</v>
      </c>
      <c r="V705" s="67">
        <f>V702+V699+V696+V675</f>
        <v>100000</v>
      </c>
      <c r="W705" s="134" t="str">
        <f>W675</f>
        <v>END</v>
      </c>
      <c r="X705" s="67"/>
      <c r="Y705" s="67"/>
      <c r="Z705" s="507"/>
      <c r="AA705" s="548"/>
      <c r="AB705" s="67"/>
      <c r="AC705" s="67"/>
    </row>
    <row r="706" spans="1:46" s="3" customFormat="1" x14ac:dyDescent="0.25">
      <c r="A706" s="121"/>
      <c r="B706" s="121"/>
      <c r="C706" s="306"/>
      <c r="D706" s="54"/>
      <c r="E706" s="54"/>
      <c r="F706" s="54"/>
      <c r="G706" s="33"/>
      <c r="H706" s="152">
        <v>1773519</v>
      </c>
      <c r="I706" s="33">
        <v>595100</v>
      </c>
      <c r="J706" s="38" t="s">
        <v>2</v>
      </c>
      <c r="K706" s="39">
        <f>K703++K700+K697+K694+K691+K688+K685+K682+K679+K676</f>
        <v>194204.72</v>
      </c>
      <c r="L706" s="16">
        <f>L703+L700+L697+L694+L691+L688+L685+L682+L679+L676</f>
        <v>20177.36</v>
      </c>
      <c r="M706" s="16">
        <f>M703+M700+M697+M694+M691+M688+M685+M682+M679+M676</f>
        <v>37527.360000000001</v>
      </c>
      <c r="N706" s="16">
        <f>N703+N700+N697+N694+N691+N688+N685+N682+N679+N676</f>
        <v>32100</v>
      </c>
      <c r="O706" s="16">
        <f>O703+O700+O697+O694+O691+O688+O685+O682+O679+O676</f>
        <v>27000</v>
      </c>
      <c r="P706" s="16">
        <f>P703+P700+P697+P694+P691+P688+P682+P679+P676</f>
        <v>22200</v>
      </c>
      <c r="Q706" s="16">
        <f>Q703+Q700+Q697+Q694+Q691+Q688+Q682+Q679+Q676</f>
        <v>17700</v>
      </c>
      <c r="R706" s="16">
        <f>R703+R700+R697+R679+R676</f>
        <v>13625</v>
      </c>
      <c r="S706" s="16">
        <f>S703+S700+S697+S676</f>
        <v>10375</v>
      </c>
      <c r="T706" s="16">
        <f t="shared" ref="T706:U706" si="505">T703+T700+T697+T676</f>
        <v>7500</v>
      </c>
      <c r="U706" s="16">
        <f t="shared" si="505"/>
        <v>4500</v>
      </c>
      <c r="V706" s="16">
        <f>V703+V700+V697+V676</f>
        <v>1500</v>
      </c>
      <c r="W706" s="20" t="str">
        <f>W676</f>
        <v>END</v>
      </c>
      <c r="X706" s="16"/>
      <c r="Y706" s="16"/>
      <c r="Z706" s="502"/>
      <c r="AA706" s="63"/>
      <c r="AB706" s="16"/>
      <c r="AC706" s="16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</row>
    <row r="707" spans="1:46" s="8" customFormat="1" ht="13.8" thickBot="1" x14ac:dyDescent="0.3">
      <c r="A707" s="122"/>
      <c r="B707" s="122"/>
      <c r="C707" s="307"/>
      <c r="D707" s="85"/>
      <c r="E707" s="85"/>
      <c r="F707" s="85"/>
      <c r="G707" s="85"/>
      <c r="H707" s="85"/>
      <c r="I707" s="85"/>
      <c r="J707" s="44" t="s">
        <v>5</v>
      </c>
      <c r="K707" s="45">
        <f>K706+K705</f>
        <v>1971940.72</v>
      </c>
      <c r="L707" s="46">
        <f>L706+L705</f>
        <v>20177.36</v>
      </c>
      <c r="M707" s="46">
        <f t="shared" ref="M707:V707" si="506">M706+M705</f>
        <v>320263.36</v>
      </c>
      <c r="N707" s="46">
        <f t="shared" si="506"/>
        <v>292100</v>
      </c>
      <c r="O707" s="46">
        <f t="shared" si="506"/>
        <v>277000</v>
      </c>
      <c r="P707" s="46">
        <f t="shared" si="506"/>
        <v>252200</v>
      </c>
      <c r="Q707" s="46">
        <f t="shared" si="506"/>
        <v>237700</v>
      </c>
      <c r="R707" s="46">
        <f t="shared" si="506"/>
        <v>138625</v>
      </c>
      <c r="S707" s="46">
        <f t="shared" si="506"/>
        <v>120375</v>
      </c>
      <c r="T707" s="46">
        <f t="shared" si="506"/>
        <v>107500</v>
      </c>
      <c r="U707" s="46">
        <f t="shared" si="506"/>
        <v>104500</v>
      </c>
      <c r="V707" s="46">
        <f t="shared" si="506"/>
        <v>101500</v>
      </c>
      <c r="W707" s="47" t="s">
        <v>11</v>
      </c>
      <c r="X707" s="46"/>
      <c r="Y707" s="46"/>
      <c r="Z707" s="503"/>
      <c r="AA707" s="65"/>
      <c r="AB707" s="46"/>
      <c r="AC707" s="46"/>
      <c r="AD707" s="47"/>
      <c r="AE707" s="47"/>
      <c r="AF707" s="47"/>
      <c r="AG707" s="47"/>
      <c r="AH707" s="47"/>
      <c r="AI707" s="47"/>
      <c r="AJ707" s="47"/>
      <c r="AK707" s="47"/>
      <c r="AL707" s="47"/>
      <c r="AM707" s="47"/>
      <c r="AN707" s="47"/>
      <c r="AO707" s="47"/>
      <c r="AP707" s="47"/>
      <c r="AQ707" s="47"/>
      <c r="AR707" s="47"/>
      <c r="AS707" s="47"/>
      <c r="AT707" s="47"/>
    </row>
    <row r="708" spans="1:46" s="3" customFormat="1" x14ac:dyDescent="0.25">
      <c r="A708" s="121"/>
      <c r="B708" s="121"/>
      <c r="C708" s="306"/>
      <c r="D708" s="102"/>
      <c r="E708" s="102"/>
      <c r="F708" s="102"/>
      <c r="G708" s="103" t="s">
        <v>514</v>
      </c>
      <c r="H708" s="103"/>
      <c r="I708" s="103"/>
      <c r="J708" s="104" t="s">
        <v>1</v>
      </c>
      <c r="K708" s="105">
        <f t="shared" ref="K708:M709" si="507">K705</f>
        <v>1777736</v>
      </c>
      <c r="L708" s="7">
        <f t="shared" si="507"/>
        <v>0</v>
      </c>
      <c r="M708" s="7">
        <f t="shared" si="507"/>
        <v>282736</v>
      </c>
      <c r="N708" s="7">
        <f t="shared" ref="N708:V708" si="508">N705</f>
        <v>260000</v>
      </c>
      <c r="O708" s="7">
        <f t="shared" si="508"/>
        <v>250000</v>
      </c>
      <c r="P708" s="7">
        <f t="shared" si="508"/>
        <v>230000</v>
      </c>
      <c r="Q708" s="7">
        <f t="shared" si="508"/>
        <v>220000</v>
      </c>
      <c r="R708" s="7">
        <f t="shared" si="508"/>
        <v>125000</v>
      </c>
      <c r="S708" s="7">
        <f t="shared" si="508"/>
        <v>110000</v>
      </c>
      <c r="T708" s="7">
        <f t="shared" si="508"/>
        <v>100000</v>
      </c>
      <c r="U708" s="7">
        <f t="shared" si="508"/>
        <v>100000</v>
      </c>
      <c r="V708" s="7">
        <f t="shared" si="508"/>
        <v>100000</v>
      </c>
      <c r="W708" s="3" t="s">
        <v>11</v>
      </c>
      <c r="X708" s="7"/>
      <c r="Y708" s="7"/>
      <c r="Z708" s="501"/>
      <c r="AA708" s="58"/>
      <c r="AB708" s="7"/>
      <c r="AC708" s="7"/>
      <c r="AI708" s="7"/>
      <c r="AN708" s="7"/>
    </row>
    <row r="709" spans="1:46" s="3" customFormat="1" ht="13.8" thickBot="1" x14ac:dyDescent="0.3">
      <c r="A709" s="121"/>
      <c r="B709" s="121"/>
      <c r="C709" s="306"/>
      <c r="D709" s="104"/>
      <c r="E709" s="104"/>
      <c r="F709" s="104"/>
      <c r="G709" s="103"/>
      <c r="H709" s="103"/>
      <c r="I709" s="103"/>
      <c r="J709" s="106" t="s">
        <v>2</v>
      </c>
      <c r="K709" s="107">
        <f t="shared" si="507"/>
        <v>194204.72</v>
      </c>
      <c r="L709" s="22">
        <f t="shared" si="507"/>
        <v>20177.36</v>
      </c>
      <c r="M709" s="22">
        <f t="shared" si="507"/>
        <v>37527.360000000001</v>
      </c>
      <c r="N709" s="22">
        <f t="shared" ref="N709:V709" si="509">N706</f>
        <v>32100</v>
      </c>
      <c r="O709" s="22">
        <f t="shared" si="509"/>
        <v>27000</v>
      </c>
      <c r="P709" s="22">
        <f t="shared" si="509"/>
        <v>22200</v>
      </c>
      <c r="Q709" s="22">
        <f t="shared" si="509"/>
        <v>17700</v>
      </c>
      <c r="R709" s="22">
        <f t="shared" si="509"/>
        <v>13625</v>
      </c>
      <c r="S709" s="22">
        <f t="shared" si="509"/>
        <v>10375</v>
      </c>
      <c r="T709" s="22">
        <f t="shared" si="509"/>
        <v>7500</v>
      </c>
      <c r="U709" s="22">
        <f t="shared" si="509"/>
        <v>4500</v>
      </c>
      <c r="V709" s="22">
        <f t="shared" si="509"/>
        <v>1500</v>
      </c>
      <c r="W709" s="23" t="s">
        <v>11</v>
      </c>
      <c r="X709" s="22"/>
      <c r="Y709" s="22"/>
      <c r="Z709" s="506"/>
      <c r="AA709" s="92"/>
      <c r="AB709" s="22"/>
      <c r="AC709" s="22"/>
      <c r="AD709" s="23"/>
      <c r="AE709" s="23"/>
      <c r="AF709" s="23"/>
      <c r="AG709" s="23"/>
      <c r="AH709" s="23"/>
      <c r="AI709" s="22"/>
      <c r="AJ709" s="23"/>
      <c r="AK709" s="23"/>
      <c r="AL709" s="23"/>
      <c r="AM709" s="23"/>
      <c r="AN709" s="22"/>
      <c r="AO709" s="23"/>
      <c r="AP709" s="23"/>
      <c r="AQ709" s="23"/>
      <c r="AR709" s="23"/>
      <c r="AS709" s="23"/>
      <c r="AT709" s="23"/>
    </row>
    <row r="710" spans="1:46" s="6" customFormat="1" x14ac:dyDescent="0.25">
      <c r="A710" s="26"/>
      <c r="B710" s="26"/>
      <c r="C710" s="306"/>
      <c r="D710" s="108"/>
      <c r="E710" s="108"/>
      <c r="F710" s="108"/>
      <c r="G710" s="118"/>
      <c r="H710" s="118"/>
      <c r="I710" s="118"/>
      <c r="J710" s="109" t="s">
        <v>5</v>
      </c>
      <c r="K710" s="110">
        <f>K709+K708</f>
        <v>1971940.72</v>
      </c>
      <c r="L710" s="67">
        <f>L709+L708</f>
        <v>20177.36</v>
      </c>
      <c r="M710" s="67">
        <f t="shared" ref="M710:V710" si="510">M709+M708</f>
        <v>320263.36</v>
      </c>
      <c r="N710" s="67">
        <f t="shared" si="510"/>
        <v>292100</v>
      </c>
      <c r="O710" s="67">
        <f t="shared" si="510"/>
        <v>277000</v>
      </c>
      <c r="P710" s="67">
        <f t="shared" si="510"/>
        <v>252200</v>
      </c>
      <c r="Q710" s="67">
        <f t="shared" si="510"/>
        <v>237700</v>
      </c>
      <c r="R710" s="67">
        <f t="shared" si="510"/>
        <v>138625</v>
      </c>
      <c r="S710" s="67">
        <f t="shared" si="510"/>
        <v>120375</v>
      </c>
      <c r="T710" s="67">
        <f t="shared" si="510"/>
        <v>107500</v>
      </c>
      <c r="U710" s="67">
        <f t="shared" si="510"/>
        <v>104500</v>
      </c>
      <c r="V710" s="67">
        <f t="shared" si="510"/>
        <v>101500</v>
      </c>
      <c r="W710" s="134" t="s">
        <v>11</v>
      </c>
      <c r="X710" s="67"/>
      <c r="Y710" s="67"/>
      <c r="Z710" s="507"/>
      <c r="AA710" s="548"/>
      <c r="AB710" s="67"/>
      <c r="AC710" s="67"/>
      <c r="AD710" s="134"/>
      <c r="AE710" s="69"/>
      <c r="AF710" s="69"/>
      <c r="AG710" s="69"/>
      <c r="AH710" s="69"/>
      <c r="AI710" s="67"/>
      <c r="AJ710" s="69"/>
      <c r="AK710" s="69"/>
      <c r="AL710" s="69"/>
      <c r="AM710" s="69"/>
      <c r="AN710" s="67"/>
      <c r="AO710" s="69"/>
      <c r="AP710" s="69"/>
      <c r="AQ710" s="69"/>
      <c r="AR710" s="69"/>
      <c r="AS710" s="69"/>
      <c r="AT710" s="69"/>
    </row>
    <row r="711" spans="1:46" s="2" customFormat="1" x14ac:dyDescent="0.25">
      <c r="A711" s="119"/>
      <c r="B711" s="119"/>
      <c r="C711" s="308"/>
      <c r="D711" s="49"/>
      <c r="E711" s="49"/>
      <c r="F711" s="49"/>
      <c r="G711" s="128" t="s">
        <v>449</v>
      </c>
      <c r="H711" s="128"/>
      <c r="I711" s="128"/>
      <c r="J711" s="48"/>
      <c r="K711" s="96"/>
      <c r="L711" s="97"/>
      <c r="M711" s="97"/>
      <c r="N711" s="97"/>
      <c r="O711" s="97"/>
      <c r="P711" s="98"/>
      <c r="Q711" s="98"/>
      <c r="R711" s="98"/>
      <c r="S711" s="98"/>
      <c r="T711" s="9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  <c r="AF711" s="48"/>
      <c r="AG711" s="48"/>
      <c r="AH711" s="48"/>
      <c r="AI711" s="48"/>
      <c r="AJ711" s="48"/>
      <c r="AK711" s="48"/>
      <c r="AL711" s="48"/>
      <c r="AM711" s="48"/>
      <c r="AN711" s="48"/>
      <c r="AO711" s="48"/>
      <c r="AP711" s="48"/>
      <c r="AQ711" s="48"/>
      <c r="AR711" s="48"/>
      <c r="AS711" s="48"/>
      <c r="AT711" s="48"/>
    </row>
    <row r="712" spans="1:46" s="2" customFormat="1" x14ac:dyDescent="0.25">
      <c r="A712" s="26" t="s">
        <v>95</v>
      </c>
      <c r="B712" s="26" t="s">
        <v>96</v>
      </c>
      <c r="C712" s="306"/>
      <c r="D712" s="33" t="s">
        <v>3</v>
      </c>
      <c r="E712" s="34">
        <v>41409</v>
      </c>
      <c r="F712" s="34" t="s">
        <v>269</v>
      </c>
      <c r="G712" s="35" t="s">
        <v>450</v>
      </c>
      <c r="H712" s="35">
        <v>31139236</v>
      </c>
      <c r="I712" s="35">
        <v>582014</v>
      </c>
      <c r="J712" s="2" t="s">
        <v>1</v>
      </c>
      <c r="K712" s="27">
        <v>51000</v>
      </c>
      <c r="L712" s="4">
        <v>0</v>
      </c>
      <c r="M712" s="4">
        <v>0</v>
      </c>
      <c r="N712" s="4">
        <v>11000</v>
      </c>
      <c r="O712" s="4">
        <v>10000</v>
      </c>
      <c r="P712" s="283">
        <v>10000</v>
      </c>
      <c r="Q712" s="283">
        <v>10000</v>
      </c>
      <c r="R712" s="283">
        <v>10000</v>
      </c>
      <c r="S712" s="2" t="s">
        <v>11</v>
      </c>
      <c r="T712" s="283"/>
      <c r="Z712" s="490"/>
      <c r="AA712" s="60"/>
    </row>
    <row r="713" spans="1:46" s="2" customFormat="1" x14ac:dyDescent="0.25">
      <c r="A713" s="26"/>
      <c r="B713" s="26"/>
      <c r="C713" s="306"/>
      <c r="D713" s="33"/>
      <c r="E713" s="34" t="s">
        <v>12</v>
      </c>
      <c r="F713" s="34"/>
      <c r="G713" s="35" t="s">
        <v>685</v>
      </c>
      <c r="H713" s="35"/>
      <c r="I713" s="35"/>
      <c r="J713" s="17" t="s">
        <v>2</v>
      </c>
      <c r="K713" s="28">
        <v>4310</v>
      </c>
      <c r="L713" s="11">
        <v>0</v>
      </c>
      <c r="M713" s="11">
        <v>0</v>
      </c>
      <c r="N713" s="11">
        <f>655+655</f>
        <v>1310</v>
      </c>
      <c r="O713" s="11">
        <f>600+600</f>
        <v>1200</v>
      </c>
      <c r="P713" s="142">
        <f>450+450</f>
        <v>900</v>
      </c>
      <c r="Q713" s="142">
        <f>300+300</f>
        <v>600</v>
      </c>
      <c r="R713" s="142">
        <f>150+150</f>
        <v>300</v>
      </c>
      <c r="S713" s="17" t="s">
        <v>11</v>
      </c>
      <c r="T713" s="366"/>
      <c r="Z713" s="490"/>
      <c r="AA713" s="60"/>
    </row>
    <row r="714" spans="1:46" s="6" customFormat="1" ht="13.8" thickBot="1" x14ac:dyDescent="0.3">
      <c r="A714" s="120"/>
      <c r="B714" s="120"/>
      <c r="C714" s="307"/>
      <c r="D714" s="85"/>
      <c r="E714" s="86" t="s">
        <v>161</v>
      </c>
      <c r="F714" s="86" t="s">
        <v>410</v>
      </c>
      <c r="G714" s="141"/>
      <c r="H714" s="125"/>
      <c r="I714" s="125"/>
      <c r="J714" s="41" t="s">
        <v>6</v>
      </c>
      <c r="K714" s="42">
        <f>K713+K712</f>
        <v>55310</v>
      </c>
      <c r="L714" s="43">
        <f>L713+L712</f>
        <v>0</v>
      </c>
      <c r="M714" s="43">
        <f t="shared" ref="M714:R714" si="511">M713+M712</f>
        <v>0</v>
      </c>
      <c r="N714" s="43">
        <f t="shared" si="511"/>
        <v>12310</v>
      </c>
      <c r="O714" s="43">
        <f t="shared" si="511"/>
        <v>11200</v>
      </c>
      <c r="P714" s="43">
        <f t="shared" si="511"/>
        <v>10900</v>
      </c>
      <c r="Q714" s="43">
        <f t="shared" si="511"/>
        <v>10600</v>
      </c>
      <c r="R714" s="43">
        <f t="shared" si="511"/>
        <v>10300</v>
      </c>
      <c r="S714" s="41" t="s">
        <v>11</v>
      </c>
      <c r="T714" s="43"/>
      <c r="U714" s="41"/>
      <c r="V714" s="41"/>
      <c r="W714" s="41"/>
      <c r="X714" s="41"/>
      <c r="Y714" s="41"/>
      <c r="Z714" s="492"/>
      <c r="AA714" s="533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</row>
    <row r="715" spans="1:46" s="2" customFormat="1" x14ac:dyDescent="0.25">
      <c r="A715" s="26" t="s">
        <v>102</v>
      </c>
      <c r="B715" s="26" t="s">
        <v>96</v>
      </c>
      <c r="C715" s="306"/>
      <c r="D715" s="33" t="s">
        <v>3</v>
      </c>
      <c r="E715" s="34">
        <v>41409</v>
      </c>
      <c r="F715" s="34" t="s">
        <v>258</v>
      </c>
      <c r="G715" s="35" t="s">
        <v>451</v>
      </c>
      <c r="H715" s="35">
        <v>31422248</v>
      </c>
      <c r="I715" s="35">
        <v>585000</v>
      </c>
      <c r="J715" s="2" t="s">
        <v>1</v>
      </c>
      <c r="K715" s="27">
        <v>35743</v>
      </c>
      <c r="L715" s="4">
        <v>0</v>
      </c>
      <c r="M715" s="4">
        <v>0</v>
      </c>
      <c r="N715" s="4">
        <v>10743</v>
      </c>
      <c r="O715" s="4">
        <v>10000</v>
      </c>
      <c r="P715" s="283">
        <v>5000</v>
      </c>
      <c r="Q715" s="283">
        <v>5000</v>
      </c>
      <c r="R715" s="283">
        <v>5000</v>
      </c>
      <c r="S715" s="2" t="s">
        <v>11</v>
      </c>
      <c r="T715" s="283"/>
      <c r="U715" s="283"/>
      <c r="Z715" s="490"/>
      <c r="AA715" s="60"/>
    </row>
    <row r="716" spans="1:46" s="2" customFormat="1" x14ac:dyDescent="0.25">
      <c r="A716" s="26"/>
      <c r="B716" s="26"/>
      <c r="C716" s="306"/>
      <c r="D716" s="33"/>
      <c r="E716" s="34" t="s">
        <v>12</v>
      </c>
      <c r="F716" s="34"/>
      <c r="G716" s="35" t="s">
        <v>452</v>
      </c>
      <c r="H716" s="35"/>
      <c r="I716" s="35"/>
      <c r="J716" s="17" t="s">
        <v>2</v>
      </c>
      <c r="K716" s="28">
        <v>2507.4299999999998</v>
      </c>
      <c r="L716" s="11">
        <v>0</v>
      </c>
      <c r="M716" s="11">
        <v>0</v>
      </c>
      <c r="N716" s="11">
        <f>428.72+428.71</f>
        <v>857.43000000000006</v>
      </c>
      <c r="O716" s="11">
        <f>375+375</f>
        <v>750</v>
      </c>
      <c r="P716" s="142">
        <f>225+225</f>
        <v>450</v>
      </c>
      <c r="Q716" s="142">
        <f>150+150</f>
        <v>300</v>
      </c>
      <c r="R716" s="142">
        <f>75+75</f>
        <v>150</v>
      </c>
      <c r="S716" s="17" t="s">
        <v>11</v>
      </c>
      <c r="T716" s="142"/>
      <c r="U716" s="142"/>
      <c r="V716" s="17"/>
      <c r="W716" s="17"/>
      <c r="X716" s="17"/>
      <c r="Y716" s="17"/>
      <c r="Z716" s="491"/>
      <c r="AA716" s="532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</row>
    <row r="717" spans="1:46" s="6" customFormat="1" ht="13.8" thickBot="1" x14ac:dyDescent="0.3">
      <c r="A717" s="120"/>
      <c r="B717" s="120"/>
      <c r="C717" s="307"/>
      <c r="D717" s="85"/>
      <c r="E717" s="86" t="s">
        <v>160</v>
      </c>
      <c r="F717" s="86" t="s">
        <v>410</v>
      </c>
      <c r="G717" s="125" t="s">
        <v>526</v>
      </c>
      <c r="H717" s="125"/>
      <c r="I717" s="125"/>
      <c r="J717" s="41" t="s">
        <v>6</v>
      </c>
      <c r="K717" s="42">
        <f>K716+K715</f>
        <v>38250.43</v>
      </c>
      <c r="L717" s="43">
        <f>L716+L715</f>
        <v>0</v>
      </c>
      <c r="M717" s="43">
        <f t="shared" ref="M717:Q717" si="512">M716+M715</f>
        <v>0</v>
      </c>
      <c r="N717" s="43">
        <f t="shared" si="512"/>
        <v>11600.43</v>
      </c>
      <c r="O717" s="43">
        <f t="shared" si="512"/>
        <v>10750</v>
      </c>
      <c r="P717" s="43">
        <f t="shared" si="512"/>
        <v>5450</v>
      </c>
      <c r="Q717" s="43">
        <f t="shared" si="512"/>
        <v>5300</v>
      </c>
      <c r="R717" s="43">
        <f t="shared" ref="R717" si="513">R716+R715</f>
        <v>5150</v>
      </c>
      <c r="S717" s="41" t="s">
        <v>11</v>
      </c>
      <c r="T717" s="43"/>
      <c r="U717" s="43"/>
      <c r="V717" s="41"/>
      <c r="W717" s="41"/>
      <c r="X717" s="41"/>
      <c r="Y717" s="41"/>
      <c r="Z717" s="492"/>
      <c r="AA717" s="533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</row>
    <row r="718" spans="1:46" s="2" customFormat="1" x14ac:dyDescent="0.25">
      <c r="A718" s="26" t="s">
        <v>102</v>
      </c>
      <c r="B718" s="26" t="s">
        <v>96</v>
      </c>
      <c r="C718" s="306"/>
      <c r="D718" s="33" t="s">
        <v>3</v>
      </c>
      <c r="E718" s="34">
        <v>41409</v>
      </c>
      <c r="F718" s="34" t="s">
        <v>258</v>
      </c>
      <c r="G718" s="35" t="s">
        <v>453</v>
      </c>
      <c r="H718" s="35">
        <v>31422248</v>
      </c>
      <c r="I718" s="35">
        <v>585112</v>
      </c>
      <c r="J718" s="2" t="s">
        <v>1</v>
      </c>
      <c r="K718" s="27">
        <v>45000</v>
      </c>
      <c r="L718" s="4">
        <v>0</v>
      </c>
      <c r="M718" s="4">
        <v>0</v>
      </c>
      <c r="N718" s="4">
        <v>10000</v>
      </c>
      <c r="O718" s="4">
        <v>10000</v>
      </c>
      <c r="P718" s="283">
        <v>10000</v>
      </c>
      <c r="Q718" s="283">
        <v>10000</v>
      </c>
      <c r="R718" s="283">
        <v>5000</v>
      </c>
      <c r="S718" s="2" t="s">
        <v>11</v>
      </c>
      <c r="T718" s="283"/>
      <c r="U718" s="283"/>
      <c r="Z718" s="490"/>
      <c r="AA718" s="60"/>
    </row>
    <row r="719" spans="1:46" s="2" customFormat="1" x14ac:dyDescent="0.25">
      <c r="A719" s="26"/>
      <c r="B719" s="26"/>
      <c r="C719" s="306"/>
      <c r="D719" s="33"/>
      <c r="E719" s="34" t="s">
        <v>12</v>
      </c>
      <c r="F719" s="34"/>
      <c r="G719" s="35" t="s">
        <v>454</v>
      </c>
      <c r="H719" s="35"/>
      <c r="I719" s="35"/>
      <c r="J719" s="17" t="s">
        <v>2</v>
      </c>
      <c r="K719" s="28">
        <v>3550</v>
      </c>
      <c r="L719" s="11">
        <v>0</v>
      </c>
      <c r="M719" s="11">
        <v>0</v>
      </c>
      <c r="N719" s="11">
        <f>575+575</f>
        <v>1150</v>
      </c>
      <c r="O719" s="11">
        <f>525+525</f>
        <v>1050</v>
      </c>
      <c r="P719" s="142">
        <f>375+375</f>
        <v>750</v>
      </c>
      <c r="Q719" s="142">
        <f>225+225</f>
        <v>450</v>
      </c>
      <c r="R719" s="142">
        <f>75+75</f>
        <v>150</v>
      </c>
      <c r="S719" s="17" t="s">
        <v>11</v>
      </c>
      <c r="T719" s="142"/>
      <c r="U719" s="142"/>
      <c r="V719" s="17"/>
      <c r="W719" s="17"/>
      <c r="X719" s="17"/>
      <c r="Y719" s="17"/>
      <c r="Z719" s="491"/>
      <c r="AA719" s="532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</row>
    <row r="720" spans="1:46" s="6" customFormat="1" ht="13.8" thickBot="1" x14ac:dyDescent="0.3">
      <c r="A720" s="120"/>
      <c r="B720" s="120"/>
      <c r="C720" s="307"/>
      <c r="D720" s="85"/>
      <c r="E720" s="86" t="s">
        <v>160</v>
      </c>
      <c r="F720" s="86" t="s">
        <v>410</v>
      </c>
      <c r="G720" s="125"/>
      <c r="H720" s="125"/>
      <c r="I720" s="125"/>
      <c r="J720" s="41" t="s">
        <v>6</v>
      </c>
      <c r="K720" s="42">
        <f>K719+K718</f>
        <v>48550</v>
      </c>
      <c r="L720" s="43">
        <f>L719+L718</f>
        <v>0</v>
      </c>
      <c r="M720" s="43">
        <f t="shared" ref="M720:Q720" si="514">M719+M718</f>
        <v>0</v>
      </c>
      <c r="N720" s="43">
        <f t="shared" si="514"/>
        <v>11150</v>
      </c>
      <c r="O720" s="43">
        <f t="shared" si="514"/>
        <v>11050</v>
      </c>
      <c r="P720" s="43">
        <f t="shared" si="514"/>
        <v>10750</v>
      </c>
      <c r="Q720" s="43">
        <f t="shared" si="514"/>
        <v>10450</v>
      </c>
      <c r="R720" s="43">
        <f t="shared" ref="R720" si="515">R719+R718</f>
        <v>5150</v>
      </c>
      <c r="S720" s="41" t="s">
        <v>11</v>
      </c>
      <c r="T720" s="43"/>
      <c r="U720" s="43"/>
      <c r="V720" s="41"/>
      <c r="W720" s="41"/>
      <c r="X720" s="41"/>
      <c r="Y720" s="41"/>
      <c r="Z720" s="492"/>
      <c r="AA720" s="533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</row>
    <row r="721" spans="1:46" s="2" customFormat="1" x14ac:dyDescent="0.25">
      <c r="A721" s="26" t="s">
        <v>102</v>
      </c>
      <c r="B721" s="26" t="s">
        <v>96</v>
      </c>
      <c r="C721" s="306"/>
      <c r="D721" s="33" t="s">
        <v>3</v>
      </c>
      <c r="E721" s="34">
        <v>41409</v>
      </c>
      <c r="F721" s="34" t="s">
        <v>258</v>
      </c>
      <c r="G721" s="35" t="s">
        <v>455</v>
      </c>
      <c r="H721" s="35">
        <v>31422248</v>
      </c>
      <c r="I721" s="35">
        <v>585122</v>
      </c>
      <c r="J721" s="2" t="s">
        <v>1</v>
      </c>
      <c r="K721" s="27">
        <v>55000</v>
      </c>
      <c r="L721" s="4">
        <v>0</v>
      </c>
      <c r="M721" s="4">
        <v>0</v>
      </c>
      <c r="N721" s="4">
        <v>15000</v>
      </c>
      <c r="O721" s="4">
        <v>10000</v>
      </c>
      <c r="P721" s="283">
        <v>10000</v>
      </c>
      <c r="Q721" s="283">
        <v>10000</v>
      </c>
      <c r="R721" s="283">
        <v>10000</v>
      </c>
      <c r="S721" s="2" t="s">
        <v>11</v>
      </c>
      <c r="T721" s="283"/>
      <c r="U721" s="283"/>
      <c r="Z721" s="490"/>
      <c r="AA721" s="60"/>
    </row>
    <row r="722" spans="1:46" s="2" customFormat="1" x14ac:dyDescent="0.25">
      <c r="A722" s="26"/>
      <c r="B722" s="26"/>
      <c r="C722" s="306"/>
      <c r="D722" s="33"/>
      <c r="E722" s="34" t="s">
        <v>12</v>
      </c>
      <c r="F722" s="34"/>
      <c r="G722" s="35" t="s">
        <v>456</v>
      </c>
      <c r="H722" s="35"/>
      <c r="I722" s="35"/>
      <c r="J722" s="17" t="s">
        <v>2</v>
      </c>
      <c r="K722" s="28">
        <v>4350</v>
      </c>
      <c r="L722" s="11">
        <v>0</v>
      </c>
      <c r="M722" s="11">
        <v>0</v>
      </c>
      <c r="N722" s="11">
        <f>675+675</f>
        <v>1350</v>
      </c>
      <c r="O722" s="11">
        <f>600+600</f>
        <v>1200</v>
      </c>
      <c r="P722" s="142">
        <f>450+450</f>
        <v>900</v>
      </c>
      <c r="Q722" s="142">
        <f>300+300</f>
        <v>600</v>
      </c>
      <c r="R722" s="142">
        <f>150+150</f>
        <v>300</v>
      </c>
      <c r="S722" s="17" t="s">
        <v>11</v>
      </c>
      <c r="T722" s="142"/>
      <c r="U722" s="142"/>
      <c r="V722" s="17"/>
      <c r="W722" s="17"/>
      <c r="X722" s="17"/>
      <c r="Y722" s="17"/>
      <c r="Z722" s="491"/>
      <c r="AA722" s="532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</row>
    <row r="723" spans="1:46" s="6" customFormat="1" ht="13.8" thickBot="1" x14ac:dyDescent="0.3">
      <c r="A723" s="120"/>
      <c r="B723" s="120"/>
      <c r="C723" s="307"/>
      <c r="D723" s="85"/>
      <c r="E723" s="86" t="s">
        <v>160</v>
      </c>
      <c r="F723" s="86" t="s">
        <v>410</v>
      </c>
      <c r="G723" s="125"/>
      <c r="H723" s="125"/>
      <c r="I723" s="125"/>
      <c r="J723" s="41" t="s">
        <v>6</v>
      </c>
      <c r="K723" s="42">
        <f>K722+K721</f>
        <v>59350</v>
      </c>
      <c r="L723" s="43">
        <f>L722+L721</f>
        <v>0</v>
      </c>
      <c r="M723" s="43">
        <f t="shared" ref="M723:Q723" si="516">M722+M721</f>
        <v>0</v>
      </c>
      <c r="N723" s="43">
        <f t="shared" si="516"/>
        <v>16350</v>
      </c>
      <c r="O723" s="43">
        <f t="shared" si="516"/>
        <v>11200</v>
      </c>
      <c r="P723" s="43">
        <f t="shared" si="516"/>
        <v>10900</v>
      </c>
      <c r="Q723" s="43">
        <f t="shared" si="516"/>
        <v>10600</v>
      </c>
      <c r="R723" s="43">
        <f t="shared" ref="R723" si="517">R722+R721</f>
        <v>10300</v>
      </c>
      <c r="S723" s="41" t="s">
        <v>11</v>
      </c>
      <c r="T723" s="43"/>
      <c r="U723" s="43"/>
      <c r="V723" s="41"/>
      <c r="W723" s="41"/>
      <c r="X723" s="41"/>
      <c r="Y723" s="41"/>
      <c r="Z723" s="492"/>
      <c r="AA723" s="533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</row>
    <row r="724" spans="1:46" s="2" customFormat="1" x14ac:dyDescent="0.25">
      <c r="A724" s="26" t="s">
        <v>99</v>
      </c>
      <c r="B724" s="26" t="s">
        <v>96</v>
      </c>
      <c r="C724" s="306"/>
      <c r="D724" s="33" t="s">
        <v>3</v>
      </c>
      <c r="E724" s="34">
        <v>41409</v>
      </c>
      <c r="F724" s="34" t="s">
        <v>301</v>
      </c>
      <c r="G724" s="313" t="s">
        <v>457</v>
      </c>
      <c r="H724" s="313">
        <v>31422248</v>
      </c>
      <c r="I724" s="313">
        <v>586200</v>
      </c>
      <c r="J724" s="2" t="s">
        <v>1</v>
      </c>
      <c r="K724" s="27">
        <v>500000</v>
      </c>
      <c r="L724" s="4">
        <v>0</v>
      </c>
      <c r="M724" s="4">
        <v>0</v>
      </c>
      <c r="N724" s="4">
        <v>35000</v>
      </c>
      <c r="O724" s="4">
        <v>35000</v>
      </c>
      <c r="P724" s="283">
        <v>35000</v>
      </c>
      <c r="Q724" s="283">
        <v>35000</v>
      </c>
      <c r="R724" s="283">
        <v>35000</v>
      </c>
      <c r="S724" s="283">
        <v>35000</v>
      </c>
      <c r="T724" s="283">
        <v>35000</v>
      </c>
      <c r="U724" s="283">
        <v>35000</v>
      </c>
      <c r="V724" s="283">
        <v>35000</v>
      </c>
      <c r="W724" s="283">
        <v>35000</v>
      </c>
      <c r="X724" s="283">
        <v>30000</v>
      </c>
      <c r="Y724" s="283">
        <v>30000</v>
      </c>
      <c r="Z724" s="497">
        <v>30000</v>
      </c>
      <c r="AA724" s="536">
        <v>30000</v>
      </c>
      <c r="AB724" s="5">
        <v>30000</v>
      </c>
      <c r="AC724" s="2" t="s">
        <v>11</v>
      </c>
    </row>
    <row r="725" spans="1:46" s="2" customFormat="1" x14ac:dyDescent="0.25">
      <c r="A725" s="400" t="s">
        <v>976</v>
      </c>
      <c r="B725" s="26"/>
      <c r="C725" s="306"/>
      <c r="D725" s="33"/>
      <c r="E725" s="34" t="s">
        <v>12</v>
      </c>
      <c r="F725" s="34"/>
      <c r="G725" s="35" t="s">
        <v>458</v>
      </c>
      <c r="H725" s="35"/>
      <c r="I725" s="35"/>
      <c r="J725" s="17" t="s">
        <v>2</v>
      </c>
      <c r="K725" s="28">
        <v>98430</v>
      </c>
      <c r="L725" s="11">
        <v>0</v>
      </c>
      <c r="M725" s="11">
        <v>0</v>
      </c>
      <c r="N725" s="11">
        <f>6535+6535</f>
        <v>13070</v>
      </c>
      <c r="O725" s="11">
        <f>6360+6360</f>
        <v>12720</v>
      </c>
      <c r="P725" s="142">
        <f>5835+5835</f>
        <v>11670</v>
      </c>
      <c r="Q725" s="142">
        <f>5310+5310</f>
        <v>10620</v>
      </c>
      <c r="R725" s="142">
        <f>4785+4785</f>
        <v>9570</v>
      </c>
      <c r="S725" s="142">
        <f>4260+4260</f>
        <v>8520</v>
      </c>
      <c r="T725" s="142">
        <f>3735+3735</f>
        <v>7470</v>
      </c>
      <c r="U725" s="142">
        <f>3035+3035</f>
        <v>6070</v>
      </c>
      <c r="V725" s="142">
        <f>2335+2335</f>
        <v>4670</v>
      </c>
      <c r="W725" s="142">
        <f>1985+1985</f>
        <v>3970</v>
      </c>
      <c r="X725" s="142">
        <f>1635+1635</f>
        <v>3270</v>
      </c>
      <c r="Y725" s="142">
        <f>1335+1335</f>
        <v>2670</v>
      </c>
      <c r="Z725" s="500">
        <f>1035+1035</f>
        <v>2070</v>
      </c>
      <c r="AA725" s="539">
        <f>690+690</f>
        <v>1380</v>
      </c>
      <c r="AB725" s="21">
        <f>345+345</f>
        <v>690</v>
      </c>
      <c r="AC725" s="17" t="s">
        <v>11</v>
      </c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</row>
    <row r="726" spans="1:46" s="6" customFormat="1" ht="13.8" thickBot="1" x14ac:dyDescent="0.3">
      <c r="A726" s="409" t="s">
        <v>1121</v>
      </c>
      <c r="B726" s="120"/>
      <c r="C726" s="307"/>
      <c r="D726" s="85"/>
      <c r="E726" s="86" t="s">
        <v>15</v>
      </c>
      <c r="F726" s="86" t="s">
        <v>405</v>
      </c>
      <c r="G726" s="125"/>
      <c r="H726" s="125"/>
      <c r="I726" s="125"/>
      <c r="J726" s="41" t="s">
        <v>6</v>
      </c>
      <c r="K726" s="42">
        <f>K725+K724</f>
        <v>598430</v>
      </c>
      <c r="L726" s="43">
        <f>L725+L724</f>
        <v>0</v>
      </c>
      <c r="M726" s="43">
        <f t="shared" ref="M726:Q726" si="518">M725+M724</f>
        <v>0</v>
      </c>
      <c r="N726" s="43">
        <f t="shared" si="518"/>
        <v>48070</v>
      </c>
      <c r="O726" s="43">
        <f t="shared" si="518"/>
        <v>47720</v>
      </c>
      <c r="P726" s="43">
        <f t="shared" si="518"/>
        <v>46670</v>
      </c>
      <c r="Q726" s="43">
        <f t="shared" si="518"/>
        <v>45620</v>
      </c>
      <c r="R726" s="43">
        <f t="shared" ref="R726" si="519">R725+R724</f>
        <v>44570</v>
      </c>
      <c r="S726" s="43">
        <f t="shared" ref="S726" si="520">S725+S724</f>
        <v>43520</v>
      </c>
      <c r="T726" s="43">
        <f t="shared" ref="T726" si="521">T725+T724</f>
        <v>42470</v>
      </c>
      <c r="U726" s="43">
        <f t="shared" ref="U726" si="522">U725+U724</f>
        <v>41070</v>
      </c>
      <c r="V726" s="43">
        <f t="shared" ref="V726" si="523">V725+V724</f>
        <v>39670</v>
      </c>
      <c r="W726" s="43">
        <f t="shared" ref="W726" si="524">W725+W724</f>
        <v>38970</v>
      </c>
      <c r="X726" s="43">
        <f t="shared" ref="X726" si="525">X725+X724</f>
        <v>33270</v>
      </c>
      <c r="Y726" s="43">
        <f t="shared" ref="Y726" si="526">Y725+Y724</f>
        <v>32670</v>
      </c>
      <c r="Z726" s="499">
        <f t="shared" ref="Z726" si="527">Z725+Z724</f>
        <v>32070</v>
      </c>
      <c r="AA726" s="538">
        <f t="shared" ref="AA726" si="528">AA725+AA724</f>
        <v>31380</v>
      </c>
      <c r="AB726" s="43">
        <f t="shared" ref="AB726" si="529">AB725+AB724</f>
        <v>30690</v>
      </c>
      <c r="AC726" s="41" t="s">
        <v>11</v>
      </c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</row>
    <row r="727" spans="1:46" s="2" customFormat="1" x14ac:dyDescent="0.25">
      <c r="A727" s="26" t="s">
        <v>102</v>
      </c>
      <c r="B727" s="26" t="s">
        <v>96</v>
      </c>
      <c r="C727" s="306"/>
      <c r="D727" s="33" t="s">
        <v>3</v>
      </c>
      <c r="E727" s="34">
        <v>41409</v>
      </c>
      <c r="F727" s="34" t="s">
        <v>258</v>
      </c>
      <c r="G727" s="35" t="s">
        <v>459</v>
      </c>
      <c r="H727" s="35">
        <v>31220248</v>
      </c>
      <c r="I727" s="35">
        <v>585123</v>
      </c>
      <c r="J727" s="2" t="s">
        <v>1</v>
      </c>
      <c r="K727" s="27">
        <v>45000</v>
      </c>
      <c r="L727" s="4">
        <v>0</v>
      </c>
      <c r="M727" s="4">
        <v>0</v>
      </c>
      <c r="N727" s="4">
        <v>10000</v>
      </c>
      <c r="O727" s="4">
        <v>10000</v>
      </c>
      <c r="P727" s="283">
        <v>10000</v>
      </c>
      <c r="Q727" s="283">
        <v>10000</v>
      </c>
      <c r="R727" s="283">
        <v>5000</v>
      </c>
      <c r="S727" s="2" t="s">
        <v>11</v>
      </c>
      <c r="T727" s="283"/>
      <c r="U727" s="283"/>
      <c r="Z727" s="490"/>
      <c r="AA727" s="60"/>
    </row>
    <row r="728" spans="1:46" s="2" customFormat="1" x14ac:dyDescent="0.25">
      <c r="A728" s="26"/>
      <c r="B728" s="26"/>
      <c r="C728" s="306"/>
      <c r="D728" s="33"/>
      <c r="E728" s="34" t="s">
        <v>12</v>
      </c>
      <c r="F728" s="34"/>
      <c r="G728" s="35" t="s">
        <v>460</v>
      </c>
      <c r="H728" s="35"/>
      <c r="I728" s="35"/>
      <c r="J728" s="17" t="s">
        <v>2</v>
      </c>
      <c r="K728" s="28">
        <v>3550</v>
      </c>
      <c r="L728" s="11">
        <v>0</v>
      </c>
      <c r="M728" s="11">
        <v>0</v>
      </c>
      <c r="N728" s="11">
        <f>575+575</f>
        <v>1150</v>
      </c>
      <c r="O728" s="11">
        <f>525+525</f>
        <v>1050</v>
      </c>
      <c r="P728" s="142">
        <f>375+375</f>
        <v>750</v>
      </c>
      <c r="Q728" s="142">
        <f>225+225</f>
        <v>450</v>
      </c>
      <c r="R728" s="142">
        <f>75+75</f>
        <v>150</v>
      </c>
      <c r="S728" s="17" t="s">
        <v>11</v>
      </c>
      <c r="T728" s="142"/>
      <c r="U728" s="142"/>
      <c r="V728" s="17"/>
      <c r="W728" s="17"/>
      <c r="X728" s="17"/>
      <c r="Y728" s="17"/>
      <c r="Z728" s="491"/>
      <c r="AA728" s="532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</row>
    <row r="729" spans="1:46" s="6" customFormat="1" ht="13.8" thickBot="1" x14ac:dyDescent="0.3">
      <c r="A729" s="120"/>
      <c r="B729" s="120"/>
      <c r="C729" s="307"/>
      <c r="D729" s="85"/>
      <c r="E729" s="86" t="s">
        <v>160</v>
      </c>
      <c r="F729" s="86" t="s">
        <v>410</v>
      </c>
      <c r="G729" s="125"/>
      <c r="H729" s="125"/>
      <c r="I729" s="125"/>
      <c r="J729" s="41" t="s">
        <v>6</v>
      </c>
      <c r="K729" s="42">
        <f>K728+K727</f>
        <v>48550</v>
      </c>
      <c r="L729" s="43">
        <f>L728+L727</f>
        <v>0</v>
      </c>
      <c r="M729" s="43">
        <f t="shared" ref="M729:Q729" si="530">M728+M727</f>
        <v>0</v>
      </c>
      <c r="N729" s="43">
        <f t="shared" si="530"/>
        <v>11150</v>
      </c>
      <c r="O729" s="43">
        <f t="shared" si="530"/>
        <v>11050</v>
      </c>
      <c r="P729" s="43">
        <f t="shared" si="530"/>
        <v>10750</v>
      </c>
      <c r="Q729" s="43">
        <f t="shared" si="530"/>
        <v>10450</v>
      </c>
      <c r="R729" s="43">
        <f t="shared" ref="R729" si="531">R728+R727</f>
        <v>5150</v>
      </c>
      <c r="S729" s="41" t="s">
        <v>11</v>
      </c>
      <c r="T729" s="43"/>
      <c r="U729" s="43"/>
      <c r="V729" s="41"/>
      <c r="W729" s="41"/>
      <c r="X729" s="41"/>
      <c r="Y729" s="41"/>
      <c r="Z729" s="492"/>
      <c r="AA729" s="533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</row>
    <row r="730" spans="1:46" s="2" customFormat="1" x14ac:dyDescent="0.25">
      <c r="A730" s="26" t="s">
        <v>102</v>
      </c>
      <c r="B730" s="26" t="s">
        <v>96</v>
      </c>
      <c r="C730" s="306"/>
      <c r="D730" s="33" t="s">
        <v>3</v>
      </c>
      <c r="E730" s="34">
        <v>41409</v>
      </c>
      <c r="F730" s="34" t="s">
        <v>258</v>
      </c>
      <c r="G730" s="35" t="s">
        <v>461</v>
      </c>
      <c r="H730" s="35">
        <v>31220248</v>
      </c>
      <c r="I730" s="35">
        <v>585100</v>
      </c>
      <c r="J730" s="2" t="s">
        <v>1</v>
      </c>
      <c r="K730" s="27">
        <v>28000</v>
      </c>
      <c r="L730" s="4">
        <v>0</v>
      </c>
      <c r="M730" s="4">
        <v>0</v>
      </c>
      <c r="N730" s="4">
        <v>8000</v>
      </c>
      <c r="O730" s="4">
        <v>5000</v>
      </c>
      <c r="P730" s="283">
        <v>5000</v>
      </c>
      <c r="Q730" s="283">
        <v>5000</v>
      </c>
      <c r="R730" s="283">
        <v>5000</v>
      </c>
      <c r="S730" s="2" t="s">
        <v>11</v>
      </c>
      <c r="T730" s="283"/>
      <c r="U730" s="283"/>
      <c r="Z730" s="490"/>
      <c r="AA730" s="60"/>
    </row>
    <row r="731" spans="1:46" s="2" customFormat="1" x14ac:dyDescent="0.25">
      <c r="A731" s="26"/>
      <c r="B731" s="26"/>
      <c r="C731" s="306"/>
      <c r="D731" s="33"/>
      <c r="E731" s="34" t="s">
        <v>12</v>
      </c>
      <c r="F731" s="34"/>
      <c r="G731" s="35" t="s">
        <v>462</v>
      </c>
      <c r="H731" s="35"/>
      <c r="I731" s="35"/>
      <c r="J731" s="17" t="s">
        <v>2</v>
      </c>
      <c r="K731" s="28">
        <v>2180</v>
      </c>
      <c r="L731" s="11">
        <v>0</v>
      </c>
      <c r="M731" s="11">
        <v>0</v>
      </c>
      <c r="N731" s="11">
        <f>340+340</f>
        <v>680</v>
      </c>
      <c r="O731" s="11">
        <f>300+300</f>
        <v>600</v>
      </c>
      <c r="P731" s="142">
        <f>225+225</f>
        <v>450</v>
      </c>
      <c r="Q731" s="142">
        <f>150+150</f>
        <v>300</v>
      </c>
      <c r="R731" s="142">
        <f>75+75</f>
        <v>150</v>
      </c>
      <c r="S731" s="17" t="s">
        <v>11</v>
      </c>
      <c r="T731" s="142"/>
      <c r="U731" s="142"/>
      <c r="V731" s="17"/>
      <c r="W731" s="17"/>
      <c r="X731" s="17"/>
      <c r="Y731" s="17"/>
      <c r="Z731" s="491"/>
      <c r="AA731" s="532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</row>
    <row r="732" spans="1:46" s="6" customFormat="1" ht="13.8" thickBot="1" x14ac:dyDescent="0.3">
      <c r="A732" s="120"/>
      <c r="B732" s="120"/>
      <c r="C732" s="307"/>
      <c r="D732" s="85"/>
      <c r="E732" s="86" t="s">
        <v>160</v>
      </c>
      <c r="F732" s="86" t="s">
        <v>410</v>
      </c>
      <c r="G732" s="125"/>
      <c r="H732" s="125"/>
      <c r="I732" s="125"/>
      <c r="J732" s="41" t="s">
        <v>6</v>
      </c>
      <c r="K732" s="42">
        <f>K731+K730</f>
        <v>30180</v>
      </c>
      <c r="L732" s="43">
        <f>L731+L730</f>
        <v>0</v>
      </c>
      <c r="M732" s="43">
        <f t="shared" ref="M732:Q732" si="532">M731+M730</f>
        <v>0</v>
      </c>
      <c r="N732" s="43">
        <f t="shared" si="532"/>
        <v>8680</v>
      </c>
      <c r="O732" s="43">
        <f t="shared" si="532"/>
        <v>5600</v>
      </c>
      <c r="P732" s="43">
        <f t="shared" si="532"/>
        <v>5450</v>
      </c>
      <c r="Q732" s="43">
        <f t="shared" si="532"/>
        <v>5300</v>
      </c>
      <c r="R732" s="43">
        <f t="shared" ref="R732" si="533">R731+R730</f>
        <v>5150</v>
      </c>
      <c r="S732" s="41" t="s">
        <v>11</v>
      </c>
      <c r="T732" s="43"/>
      <c r="U732" s="43"/>
      <c r="V732" s="41"/>
      <c r="W732" s="41"/>
      <c r="X732" s="41"/>
      <c r="Y732" s="41"/>
      <c r="Z732" s="492"/>
      <c r="AA732" s="533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</row>
    <row r="733" spans="1:46" s="2" customFormat="1" x14ac:dyDescent="0.25">
      <c r="A733" s="26" t="s">
        <v>102</v>
      </c>
      <c r="B733" s="26" t="s">
        <v>96</v>
      </c>
      <c r="C733" s="306"/>
      <c r="D733" s="33" t="s">
        <v>3</v>
      </c>
      <c r="E733" s="34">
        <v>41409</v>
      </c>
      <c r="F733" s="34" t="s">
        <v>258</v>
      </c>
      <c r="G733" s="35" t="s">
        <v>141</v>
      </c>
      <c r="H733" s="35">
        <v>31220248</v>
      </c>
      <c r="I733" s="35">
        <v>543013</v>
      </c>
      <c r="J733" s="2" t="s">
        <v>1</v>
      </c>
      <c r="K733" s="27">
        <v>30000</v>
      </c>
      <c r="L733" s="4">
        <v>0</v>
      </c>
      <c r="M733" s="4">
        <v>0</v>
      </c>
      <c r="N733" s="4">
        <v>10000</v>
      </c>
      <c r="O733" s="4">
        <v>5000</v>
      </c>
      <c r="P733" s="283">
        <v>5000</v>
      </c>
      <c r="Q733" s="283">
        <v>5000</v>
      </c>
      <c r="R733" s="283">
        <v>5000</v>
      </c>
      <c r="S733" s="2" t="s">
        <v>11</v>
      </c>
      <c r="T733" s="283"/>
      <c r="U733" s="283"/>
      <c r="Z733" s="490"/>
      <c r="AA733" s="60"/>
    </row>
    <row r="734" spans="1:46" s="2" customFormat="1" x14ac:dyDescent="0.25">
      <c r="A734" s="26"/>
      <c r="B734" s="26"/>
      <c r="C734" s="306"/>
      <c r="D734" s="33"/>
      <c r="E734" s="34" t="s">
        <v>12</v>
      </c>
      <c r="F734" s="34"/>
      <c r="G734" s="35" t="s">
        <v>463</v>
      </c>
      <c r="H734" s="35"/>
      <c r="I734" s="35"/>
      <c r="J734" s="17" t="s">
        <v>2</v>
      </c>
      <c r="K734" s="28">
        <v>2200</v>
      </c>
      <c r="L734" s="11">
        <v>0</v>
      </c>
      <c r="M734" s="11">
        <v>0</v>
      </c>
      <c r="N734" s="11">
        <f>350+350</f>
        <v>700</v>
      </c>
      <c r="O734" s="11">
        <f>300+300</f>
        <v>600</v>
      </c>
      <c r="P734" s="142">
        <f>225+225</f>
        <v>450</v>
      </c>
      <c r="Q734" s="142">
        <f>150+150</f>
        <v>300</v>
      </c>
      <c r="R734" s="142">
        <f>75+75</f>
        <v>150</v>
      </c>
      <c r="S734" s="17" t="s">
        <v>11</v>
      </c>
      <c r="T734" s="142"/>
      <c r="U734" s="142"/>
      <c r="V734" s="17"/>
      <c r="W734" s="17"/>
      <c r="X734" s="17"/>
      <c r="Y734" s="17"/>
      <c r="Z734" s="491"/>
      <c r="AA734" s="532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</row>
    <row r="735" spans="1:46" s="6" customFormat="1" ht="13.8" thickBot="1" x14ac:dyDescent="0.3">
      <c r="A735" s="120"/>
      <c r="B735" s="120"/>
      <c r="C735" s="307"/>
      <c r="D735" s="85"/>
      <c r="E735" s="86" t="s">
        <v>160</v>
      </c>
      <c r="F735" s="86" t="s">
        <v>410</v>
      </c>
      <c r="G735" s="125"/>
      <c r="H735" s="125"/>
      <c r="I735" s="125"/>
      <c r="J735" s="41" t="s">
        <v>6</v>
      </c>
      <c r="K735" s="42">
        <f>K734+K733</f>
        <v>32200</v>
      </c>
      <c r="L735" s="43">
        <f>L734+L733</f>
        <v>0</v>
      </c>
      <c r="M735" s="43">
        <f t="shared" ref="M735:Q735" si="534">M734+M733</f>
        <v>0</v>
      </c>
      <c r="N735" s="43">
        <f t="shared" si="534"/>
        <v>10700</v>
      </c>
      <c r="O735" s="43">
        <f t="shared" si="534"/>
        <v>5600</v>
      </c>
      <c r="P735" s="43">
        <f t="shared" si="534"/>
        <v>5450</v>
      </c>
      <c r="Q735" s="43">
        <f t="shared" si="534"/>
        <v>5300</v>
      </c>
      <c r="R735" s="43">
        <f t="shared" ref="R735" si="535">R734+R733</f>
        <v>5150</v>
      </c>
      <c r="S735" s="41" t="s">
        <v>11</v>
      </c>
      <c r="T735" s="43"/>
      <c r="U735" s="43"/>
      <c r="V735" s="41"/>
      <c r="W735" s="41"/>
      <c r="X735" s="41"/>
      <c r="Y735" s="41"/>
      <c r="Z735" s="492"/>
      <c r="AA735" s="533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</row>
    <row r="736" spans="1:46" s="2" customFormat="1" x14ac:dyDescent="0.25">
      <c r="A736" s="26" t="s">
        <v>102</v>
      </c>
      <c r="B736" s="26" t="s">
        <v>96</v>
      </c>
      <c r="C736" s="306"/>
      <c r="D736" s="33" t="s">
        <v>3</v>
      </c>
      <c r="E736" s="34">
        <v>41409</v>
      </c>
      <c r="F736" s="34" t="s">
        <v>258</v>
      </c>
      <c r="G736" s="35" t="s">
        <v>464</v>
      </c>
      <c r="H736" s="35">
        <v>31220248</v>
      </c>
      <c r="I736" s="35">
        <v>585004</v>
      </c>
      <c r="J736" s="2" t="s">
        <v>1</v>
      </c>
      <c r="K736" s="27">
        <v>87680</v>
      </c>
      <c r="L736" s="4">
        <v>0</v>
      </c>
      <c r="M736" s="4">
        <v>0</v>
      </c>
      <c r="N736" s="4">
        <v>22680</v>
      </c>
      <c r="O736" s="4">
        <v>20000</v>
      </c>
      <c r="P736" s="283">
        <v>15000</v>
      </c>
      <c r="Q736" s="283">
        <v>15000</v>
      </c>
      <c r="R736" s="283">
        <v>15000</v>
      </c>
      <c r="S736" s="2" t="s">
        <v>11</v>
      </c>
      <c r="T736" s="283"/>
      <c r="U736" s="283"/>
      <c r="Z736" s="490"/>
      <c r="AA736" s="60"/>
    </row>
    <row r="737" spans="1:46" s="2" customFormat="1" x14ac:dyDescent="0.25">
      <c r="A737" s="26"/>
      <c r="B737" s="26"/>
      <c r="C737" s="306"/>
      <c r="D737" s="33"/>
      <c r="E737" s="34" t="s">
        <v>12</v>
      </c>
      <c r="F737" s="34"/>
      <c r="G737" s="35" t="s">
        <v>465</v>
      </c>
      <c r="H737" s="35"/>
      <c r="I737" s="35"/>
      <c r="J737" s="17" t="s">
        <v>2</v>
      </c>
      <c r="K737" s="28">
        <v>6826.8</v>
      </c>
      <c r="L737" s="11">
        <v>0</v>
      </c>
      <c r="M737" s="11">
        <v>0</v>
      </c>
      <c r="N737" s="11">
        <f>1088.4+1088.4</f>
        <v>2176.8000000000002</v>
      </c>
      <c r="O737" s="11">
        <f>975+975</f>
        <v>1950</v>
      </c>
      <c r="P737" s="142">
        <f>675+675</f>
        <v>1350</v>
      </c>
      <c r="Q737" s="142">
        <f>450+450</f>
        <v>900</v>
      </c>
      <c r="R737" s="142">
        <f>225+225</f>
        <v>450</v>
      </c>
      <c r="S737" s="17" t="s">
        <v>11</v>
      </c>
      <c r="T737" s="142"/>
      <c r="U737" s="142"/>
      <c r="V737" s="17"/>
      <c r="W737" s="17"/>
      <c r="X737" s="17"/>
      <c r="Y737" s="17"/>
      <c r="Z737" s="491"/>
      <c r="AA737" s="532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</row>
    <row r="738" spans="1:46" s="6" customFormat="1" ht="13.8" thickBot="1" x14ac:dyDescent="0.3">
      <c r="A738" s="120"/>
      <c r="B738" s="120"/>
      <c r="C738" s="307"/>
      <c r="D738" s="85"/>
      <c r="E738" s="86" t="s">
        <v>160</v>
      </c>
      <c r="F738" s="86" t="s">
        <v>410</v>
      </c>
      <c r="G738" s="125"/>
      <c r="H738" s="125"/>
      <c r="I738" s="125"/>
      <c r="J738" s="41" t="s">
        <v>6</v>
      </c>
      <c r="K738" s="42">
        <f>K737+K736</f>
        <v>94506.8</v>
      </c>
      <c r="L738" s="43">
        <f>L737+L736</f>
        <v>0</v>
      </c>
      <c r="M738" s="43">
        <f t="shared" ref="M738:Q738" si="536">M737+M736</f>
        <v>0</v>
      </c>
      <c r="N738" s="43">
        <f t="shared" si="536"/>
        <v>24856.799999999999</v>
      </c>
      <c r="O738" s="43">
        <f t="shared" si="536"/>
        <v>21950</v>
      </c>
      <c r="P738" s="43">
        <f t="shared" si="536"/>
        <v>16350</v>
      </c>
      <c r="Q738" s="43">
        <f t="shared" si="536"/>
        <v>15900</v>
      </c>
      <c r="R738" s="43">
        <f t="shared" ref="R738" si="537">R737+R736</f>
        <v>15450</v>
      </c>
      <c r="S738" s="41" t="s">
        <v>11</v>
      </c>
      <c r="T738" s="43"/>
      <c r="U738" s="43"/>
      <c r="V738" s="41"/>
      <c r="W738" s="41"/>
      <c r="X738" s="41"/>
      <c r="Y738" s="41"/>
      <c r="Z738" s="492"/>
      <c r="AA738" s="533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</row>
    <row r="739" spans="1:46" s="2" customFormat="1" x14ac:dyDescent="0.25">
      <c r="A739" s="26" t="s">
        <v>102</v>
      </c>
      <c r="B739" s="26" t="s">
        <v>96</v>
      </c>
      <c r="C739" s="306"/>
      <c r="D739" s="33" t="s">
        <v>3</v>
      </c>
      <c r="E739" s="34">
        <v>41409</v>
      </c>
      <c r="F739" s="34" t="s">
        <v>258</v>
      </c>
      <c r="G739" s="35" t="s">
        <v>466</v>
      </c>
      <c r="H739" s="35">
        <v>31220248</v>
      </c>
      <c r="I739" s="35">
        <v>585124</v>
      </c>
      <c r="J739" s="2" t="s">
        <v>1</v>
      </c>
      <c r="K739" s="27">
        <v>37000</v>
      </c>
      <c r="L739" s="4">
        <v>0</v>
      </c>
      <c r="M739" s="4">
        <v>0</v>
      </c>
      <c r="N739" s="4">
        <v>12000</v>
      </c>
      <c r="O739" s="4">
        <v>10000</v>
      </c>
      <c r="P739" s="283">
        <v>5000</v>
      </c>
      <c r="Q739" s="283">
        <v>5000</v>
      </c>
      <c r="R739" s="283">
        <v>5000</v>
      </c>
      <c r="S739" s="2" t="s">
        <v>11</v>
      </c>
      <c r="T739" s="283"/>
      <c r="U739" s="283"/>
      <c r="Z739" s="490"/>
      <c r="AA739" s="60"/>
    </row>
    <row r="740" spans="1:46" s="2" customFormat="1" x14ac:dyDescent="0.25">
      <c r="A740" s="26"/>
      <c r="B740" s="26"/>
      <c r="C740" s="306"/>
      <c r="D740" s="33"/>
      <c r="E740" s="34" t="s">
        <v>12</v>
      </c>
      <c r="F740" s="34"/>
      <c r="G740" s="35" t="s">
        <v>467</v>
      </c>
      <c r="H740" s="35"/>
      <c r="I740" s="35"/>
      <c r="J740" s="17" t="s">
        <v>2</v>
      </c>
      <c r="K740" s="28">
        <v>2520</v>
      </c>
      <c r="L740" s="11">
        <v>0</v>
      </c>
      <c r="M740" s="11">
        <v>0</v>
      </c>
      <c r="N740" s="11">
        <f>435+435</f>
        <v>870</v>
      </c>
      <c r="O740" s="11">
        <f>375+375</f>
        <v>750</v>
      </c>
      <c r="P740" s="142">
        <f>225+225</f>
        <v>450</v>
      </c>
      <c r="Q740" s="142">
        <f>150+150</f>
        <v>300</v>
      </c>
      <c r="R740" s="142">
        <f>75+75</f>
        <v>150</v>
      </c>
      <c r="S740" s="17" t="s">
        <v>11</v>
      </c>
      <c r="T740" s="142"/>
      <c r="U740" s="142"/>
      <c r="V740" s="17"/>
      <c r="W740" s="17"/>
      <c r="X740" s="17"/>
      <c r="Y740" s="17"/>
      <c r="Z740" s="491"/>
      <c r="AA740" s="532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</row>
    <row r="741" spans="1:46" s="6" customFormat="1" ht="13.8" thickBot="1" x14ac:dyDescent="0.3">
      <c r="A741" s="120"/>
      <c r="B741" s="120"/>
      <c r="C741" s="307"/>
      <c r="D741" s="85"/>
      <c r="E741" s="86" t="s">
        <v>160</v>
      </c>
      <c r="F741" s="86" t="s">
        <v>410</v>
      </c>
      <c r="G741" s="125"/>
      <c r="H741" s="125"/>
      <c r="I741" s="125"/>
      <c r="J741" s="41" t="s">
        <v>6</v>
      </c>
      <c r="K741" s="42">
        <f>K740+K739</f>
        <v>39520</v>
      </c>
      <c r="L741" s="43">
        <f>L740+L739</f>
        <v>0</v>
      </c>
      <c r="M741" s="43">
        <f t="shared" ref="M741:Q741" si="538">M740+M739</f>
        <v>0</v>
      </c>
      <c r="N741" s="43">
        <f t="shared" si="538"/>
        <v>12870</v>
      </c>
      <c r="O741" s="43">
        <f t="shared" si="538"/>
        <v>10750</v>
      </c>
      <c r="P741" s="43">
        <f t="shared" si="538"/>
        <v>5450</v>
      </c>
      <c r="Q741" s="43">
        <f t="shared" si="538"/>
        <v>5300</v>
      </c>
      <c r="R741" s="43">
        <f t="shared" ref="R741" si="539">R740+R739</f>
        <v>5150</v>
      </c>
      <c r="S741" s="41" t="s">
        <v>11</v>
      </c>
      <c r="T741" s="43"/>
      <c r="U741" s="43"/>
      <c r="V741" s="41"/>
      <c r="W741" s="41"/>
      <c r="X741" s="41"/>
      <c r="Y741" s="41"/>
      <c r="Z741" s="492"/>
      <c r="AA741" s="533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</row>
    <row r="742" spans="1:46" s="2" customFormat="1" x14ac:dyDescent="0.25">
      <c r="A742" s="26" t="s">
        <v>102</v>
      </c>
      <c r="B742" s="26" t="s">
        <v>96</v>
      </c>
      <c r="C742" s="306"/>
      <c r="D742" s="33" t="s">
        <v>3</v>
      </c>
      <c r="E742" s="34">
        <v>41409</v>
      </c>
      <c r="F742" s="34" t="s">
        <v>259</v>
      </c>
      <c r="G742" s="35" t="s">
        <v>468</v>
      </c>
      <c r="H742" s="35">
        <v>31155248</v>
      </c>
      <c r="I742" s="35">
        <v>585002</v>
      </c>
      <c r="J742" s="2" t="s">
        <v>1</v>
      </c>
      <c r="K742" s="27">
        <v>24584</v>
      </c>
      <c r="L742" s="4">
        <v>0</v>
      </c>
      <c r="M742" s="4">
        <v>0</v>
      </c>
      <c r="N742" s="4">
        <v>4584</v>
      </c>
      <c r="O742" s="4">
        <v>5000</v>
      </c>
      <c r="P742" s="283">
        <v>5000</v>
      </c>
      <c r="Q742" s="283">
        <v>5000</v>
      </c>
      <c r="R742" s="283">
        <v>5000</v>
      </c>
      <c r="S742" s="2" t="s">
        <v>11</v>
      </c>
      <c r="T742" s="283"/>
      <c r="U742" s="283"/>
      <c r="Z742" s="490"/>
      <c r="AA742" s="60"/>
    </row>
    <row r="743" spans="1:46" s="2" customFormat="1" x14ac:dyDescent="0.25">
      <c r="A743" s="26"/>
      <c r="B743" s="26"/>
      <c r="C743" s="306"/>
      <c r="D743" s="33"/>
      <c r="E743" s="34" t="s">
        <v>12</v>
      </c>
      <c r="F743" s="34"/>
      <c r="G743" s="35" t="s">
        <v>469</v>
      </c>
      <c r="H743" s="35"/>
      <c r="I743" s="35"/>
      <c r="J743" s="17" t="s">
        <v>2</v>
      </c>
      <c r="K743" s="28">
        <v>2145.84</v>
      </c>
      <c r="L743" s="11">
        <v>0</v>
      </c>
      <c r="M743" s="11">
        <v>0</v>
      </c>
      <c r="N743" s="11">
        <f>322.92+322.92</f>
        <v>645.84</v>
      </c>
      <c r="O743" s="11">
        <f>300+300</f>
        <v>600</v>
      </c>
      <c r="P743" s="142">
        <f>225+225</f>
        <v>450</v>
      </c>
      <c r="Q743" s="142">
        <f>150+150</f>
        <v>300</v>
      </c>
      <c r="R743" s="142">
        <f>75+75</f>
        <v>150</v>
      </c>
      <c r="S743" s="17" t="s">
        <v>11</v>
      </c>
      <c r="T743" s="142"/>
      <c r="U743" s="142"/>
      <c r="V743" s="17"/>
      <c r="W743" s="17"/>
      <c r="X743" s="17"/>
      <c r="Y743" s="17"/>
      <c r="Z743" s="491"/>
      <c r="AA743" s="532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</row>
    <row r="744" spans="1:46" s="6" customFormat="1" ht="13.8" thickBot="1" x14ac:dyDescent="0.3">
      <c r="A744" s="120"/>
      <c r="B744" s="120"/>
      <c r="C744" s="307"/>
      <c r="D744" s="85"/>
      <c r="E744" s="86" t="s">
        <v>160</v>
      </c>
      <c r="F744" s="86" t="s">
        <v>410</v>
      </c>
      <c r="G744" s="125"/>
      <c r="H744" s="125"/>
      <c r="I744" s="125"/>
      <c r="J744" s="41" t="s">
        <v>6</v>
      </c>
      <c r="K744" s="42">
        <f>K743+K742</f>
        <v>26729.84</v>
      </c>
      <c r="L744" s="43">
        <f>L743+L742</f>
        <v>0</v>
      </c>
      <c r="M744" s="43">
        <f t="shared" ref="M744:Q744" si="540">M743+M742</f>
        <v>0</v>
      </c>
      <c r="N744" s="43">
        <f t="shared" si="540"/>
        <v>5229.84</v>
      </c>
      <c r="O744" s="43">
        <f t="shared" si="540"/>
        <v>5600</v>
      </c>
      <c r="P744" s="43">
        <f t="shared" si="540"/>
        <v>5450</v>
      </c>
      <c r="Q744" s="43">
        <f t="shared" si="540"/>
        <v>5300</v>
      </c>
      <c r="R744" s="43">
        <f t="shared" ref="R744" si="541">R743+R742</f>
        <v>5150</v>
      </c>
      <c r="S744" s="41" t="s">
        <v>11</v>
      </c>
      <c r="T744" s="43"/>
      <c r="U744" s="43"/>
      <c r="V744" s="41"/>
      <c r="W744" s="41"/>
      <c r="X744" s="41"/>
      <c r="Y744" s="41"/>
      <c r="Z744" s="492"/>
      <c r="AA744" s="533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</row>
    <row r="745" spans="1:46" s="2" customFormat="1" x14ac:dyDescent="0.25">
      <c r="A745" s="26" t="s">
        <v>99</v>
      </c>
      <c r="B745" s="26" t="s">
        <v>96</v>
      </c>
      <c r="C745" s="306"/>
      <c r="D745" s="33" t="s">
        <v>3</v>
      </c>
      <c r="E745" s="34">
        <v>41409</v>
      </c>
      <c r="F745" s="34" t="s">
        <v>470</v>
      </c>
      <c r="G745" s="35" t="s">
        <v>471</v>
      </c>
      <c r="H745" s="35">
        <v>31155248</v>
      </c>
      <c r="I745" s="35">
        <v>585010</v>
      </c>
      <c r="J745" s="2" t="s">
        <v>1</v>
      </c>
      <c r="K745" s="27">
        <v>115000</v>
      </c>
      <c r="L745" s="4">
        <v>0</v>
      </c>
      <c r="M745" s="4">
        <v>0</v>
      </c>
      <c r="N745" s="4">
        <v>15000</v>
      </c>
      <c r="O745" s="4">
        <v>15000</v>
      </c>
      <c r="P745" s="283">
        <v>15000</v>
      </c>
      <c r="Q745" s="283">
        <v>15000</v>
      </c>
      <c r="R745" s="283">
        <v>15000</v>
      </c>
      <c r="S745" s="283">
        <v>15000</v>
      </c>
      <c r="T745" s="283">
        <v>15000</v>
      </c>
      <c r="U745" s="283">
        <v>10000</v>
      </c>
      <c r="V745" s="2" t="s">
        <v>11</v>
      </c>
      <c r="W745" s="283"/>
      <c r="X745" s="283"/>
      <c r="Y745" s="283"/>
      <c r="Z745" s="497"/>
      <c r="AA745" s="536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46" s="2" customFormat="1" x14ac:dyDescent="0.25">
      <c r="A746" s="400" t="s">
        <v>977</v>
      </c>
      <c r="B746" s="26"/>
      <c r="C746" s="306"/>
      <c r="D746" s="33"/>
      <c r="E746" s="34" t="s">
        <v>12</v>
      </c>
      <c r="F746" s="34"/>
      <c r="G746" s="35" t="s">
        <v>472</v>
      </c>
      <c r="H746" s="35"/>
      <c r="I746" s="35"/>
      <c r="J746" s="17" t="s">
        <v>2</v>
      </c>
      <c r="K746" s="28">
        <v>16550</v>
      </c>
      <c r="L746" s="11">
        <v>0</v>
      </c>
      <c r="M746" s="11">
        <v>0</v>
      </c>
      <c r="N746" s="11">
        <f>1700+1700</f>
        <v>3400</v>
      </c>
      <c r="O746" s="11">
        <f>1625+1625</f>
        <v>3250</v>
      </c>
      <c r="P746" s="142">
        <f>1400+1400</f>
        <v>2800</v>
      </c>
      <c r="Q746" s="142">
        <f>1175+1175</f>
        <v>2350</v>
      </c>
      <c r="R746" s="142">
        <f>950+950</f>
        <v>1900</v>
      </c>
      <c r="S746" s="142">
        <f>725+725</f>
        <v>1450</v>
      </c>
      <c r="T746" s="142">
        <f>500+500</f>
        <v>1000</v>
      </c>
      <c r="U746" s="142">
        <f>200+200</f>
        <v>400</v>
      </c>
      <c r="V746" s="17" t="s">
        <v>11</v>
      </c>
      <c r="W746" s="142"/>
      <c r="X746" s="142"/>
      <c r="Y746" s="142"/>
      <c r="Z746" s="500"/>
      <c r="AA746" s="539"/>
      <c r="AB746" s="21"/>
      <c r="AC746" s="21"/>
      <c r="AD746" s="21"/>
      <c r="AE746" s="21"/>
      <c r="AF746" s="21"/>
      <c r="AG746" s="21"/>
      <c r="AH746" s="21"/>
      <c r="AI746" s="21"/>
      <c r="AJ746" s="21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</row>
    <row r="747" spans="1:46" s="6" customFormat="1" ht="13.8" thickBot="1" x14ac:dyDescent="0.3">
      <c r="A747" s="120"/>
      <c r="B747" s="120"/>
      <c r="C747" s="307"/>
      <c r="D747" s="85"/>
      <c r="E747" s="86" t="s">
        <v>15</v>
      </c>
      <c r="F747" s="86" t="s">
        <v>410</v>
      </c>
      <c r="G747" s="125" t="s">
        <v>721</v>
      </c>
      <c r="H747" s="125"/>
      <c r="I747" s="125"/>
      <c r="J747" s="41" t="s">
        <v>6</v>
      </c>
      <c r="K747" s="42">
        <f>K746+K745</f>
        <v>131550</v>
      </c>
      <c r="L747" s="43">
        <f>L746+L745</f>
        <v>0</v>
      </c>
      <c r="M747" s="43">
        <f t="shared" ref="M747:Q747" si="542">M746+M745</f>
        <v>0</v>
      </c>
      <c r="N747" s="43">
        <f t="shared" si="542"/>
        <v>18400</v>
      </c>
      <c r="O747" s="43">
        <f t="shared" si="542"/>
        <v>18250</v>
      </c>
      <c r="P747" s="43">
        <f t="shared" si="542"/>
        <v>17800</v>
      </c>
      <c r="Q747" s="43">
        <f t="shared" si="542"/>
        <v>17350</v>
      </c>
      <c r="R747" s="43">
        <f t="shared" ref="R747" si="543">R746+R745</f>
        <v>16900</v>
      </c>
      <c r="S747" s="43">
        <f t="shared" ref="S747" si="544">S746+S745</f>
        <v>16450</v>
      </c>
      <c r="T747" s="43">
        <f t="shared" ref="T747" si="545">T746+T745</f>
        <v>16000</v>
      </c>
      <c r="U747" s="43">
        <f t="shared" ref="U747" si="546">U746+U745</f>
        <v>10400</v>
      </c>
      <c r="V747" s="41" t="s">
        <v>11</v>
      </c>
      <c r="W747" s="43"/>
      <c r="X747" s="43"/>
      <c r="Y747" s="43"/>
      <c r="Z747" s="499"/>
      <c r="AA747" s="538"/>
      <c r="AB747" s="43"/>
      <c r="AC747" s="43"/>
      <c r="AD747" s="43"/>
      <c r="AE747" s="43"/>
      <c r="AF747" s="43"/>
      <c r="AG747" s="43"/>
      <c r="AH747" s="43"/>
      <c r="AI747" s="43"/>
      <c r="AJ747" s="43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</row>
    <row r="748" spans="1:46" s="2" customFormat="1" x14ac:dyDescent="0.25">
      <c r="A748" s="26" t="s">
        <v>102</v>
      </c>
      <c r="B748" s="26" t="s">
        <v>96</v>
      </c>
      <c r="C748" s="306"/>
      <c r="D748" s="33" t="s">
        <v>3</v>
      </c>
      <c r="E748" s="34">
        <v>41409</v>
      </c>
      <c r="F748" s="34" t="s">
        <v>258</v>
      </c>
      <c r="G748" s="35" t="s">
        <v>473</v>
      </c>
      <c r="H748" s="35">
        <v>31650248</v>
      </c>
      <c r="I748" s="35">
        <v>585100</v>
      </c>
      <c r="J748" s="2" t="s">
        <v>1</v>
      </c>
      <c r="K748" s="27">
        <v>24000</v>
      </c>
      <c r="L748" s="4">
        <v>0</v>
      </c>
      <c r="M748" s="4">
        <v>0</v>
      </c>
      <c r="N748" s="4">
        <v>4000</v>
      </c>
      <c r="O748" s="4">
        <v>5000</v>
      </c>
      <c r="P748" s="283">
        <v>5000</v>
      </c>
      <c r="Q748" s="283">
        <v>5000</v>
      </c>
      <c r="R748" s="283">
        <v>5000</v>
      </c>
      <c r="S748" s="2" t="s">
        <v>11</v>
      </c>
      <c r="T748" s="283"/>
      <c r="U748" s="283"/>
      <c r="Z748" s="490"/>
      <c r="AA748" s="60"/>
    </row>
    <row r="749" spans="1:46" s="2" customFormat="1" x14ac:dyDescent="0.25">
      <c r="A749" s="26"/>
      <c r="B749" s="26"/>
      <c r="C749" s="306"/>
      <c r="D749" s="33"/>
      <c r="E749" s="34" t="s">
        <v>12</v>
      </c>
      <c r="F749" s="34"/>
      <c r="G749" s="35" t="s">
        <v>474</v>
      </c>
      <c r="H749" s="35"/>
      <c r="I749" s="35"/>
      <c r="J749" s="17" t="s">
        <v>2</v>
      </c>
      <c r="K749" s="28">
        <v>2140</v>
      </c>
      <c r="L749" s="11">
        <v>0</v>
      </c>
      <c r="M749" s="11">
        <v>0</v>
      </c>
      <c r="N749" s="11">
        <f>320+320</f>
        <v>640</v>
      </c>
      <c r="O749" s="11">
        <f>300+300</f>
        <v>600</v>
      </c>
      <c r="P749" s="142">
        <f>225+225</f>
        <v>450</v>
      </c>
      <c r="Q749" s="142">
        <f>150+150</f>
        <v>300</v>
      </c>
      <c r="R749" s="142">
        <f>75+75</f>
        <v>150</v>
      </c>
      <c r="S749" s="17" t="s">
        <v>11</v>
      </c>
      <c r="T749" s="142"/>
      <c r="U749" s="142"/>
      <c r="V749" s="17"/>
      <c r="W749" s="17"/>
      <c r="X749" s="17"/>
      <c r="Y749" s="17"/>
      <c r="Z749" s="491"/>
      <c r="AA749" s="532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</row>
    <row r="750" spans="1:46" s="6" customFormat="1" ht="13.8" thickBot="1" x14ac:dyDescent="0.3">
      <c r="A750" s="120"/>
      <c r="B750" s="120"/>
      <c r="C750" s="307"/>
      <c r="D750" s="85"/>
      <c r="E750" s="86" t="s">
        <v>160</v>
      </c>
      <c r="F750" s="86" t="s">
        <v>410</v>
      </c>
      <c r="G750" s="125"/>
      <c r="H750" s="125"/>
      <c r="I750" s="125"/>
      <c r="J750" s="41" t="s">
        <v>6</v>
      </c>
      <c r="K750" s="42">
        <f>K749+K748</f>
        <v>26140</v>
      </c>
      <c r="L750" s="43">
        <f>L749+L748</f>
        <v>0</v>
      </c>
      <c r="M750" s="43">
        <f t="shared" ref="M750:Q750" si="547">M749+M748</f>
        <v>0</v>
      </c>
      <c r="N750" s="43">
        <f t="shared" si="547"/>
        <v>4640</v>
      </c>
      <c r="O750" s="43">
        <f t="shared" si="547"/>
        <v>5600</v>
      </c>
      <c r="P750" s="43">
        <f t="shared" si="547"/>
        <v>5450</v>
      </c>
      <c r="Q750" s="43">
        <f t="shared" si="547"/>
        <v>5300</v>
      </c>
      <c r="R750" s="43">
        <f t="shared" ref="R750" si="548">R749+R748</f>
        <v>5150</v>
      </c>
      <c r="S750" s="41" t="s">
        <v>11</v>
      </c>
      <c r="T750" s="43"/>
      <c r="U750" s="43"/>
      <c r="V750" s="41"/>
      <c r="W750" s="41"/>
      <c r="X750" s="41"/>
      <c r="Y750" s="41"/>
      <c r="Z750" s="492"/>
      <c r="AA750" s="533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</row>
    <row r="751" spans="1:46" s="2" customFormat="1" x14ac:dyDescent="0.25">
      <c r="A751" s="26" t="s">
        <v>102</v>
      </c>
      <c r="B751" s="26" t="s">
        <v>96</v>
      </c>
      <c r="C751" s="306"/>
      <c r="D751" s="33" t="s">
        <v>3</v>
      </c>
      <c r="E751" s="34">
        <v>41409</v>
      </c>
      <c r="F751" s="34" t="s">
        <v>258</v>
      </c>
      <c r="G751" s="35" t="s">
        <v>475</v>
      </c>
      <c r="H751" s="35">
        <v>31210248</v>
      </c>
      <c r="I751" s="35">
        <v>585100</v>
      </c>
      <c r="J751" s="2" t="s">
        <v>1</v>
      </c>
      <c r="K751" s="27">
        <v>156750</v>
      </c>
      <c r="L751" s="4">
        <v>0</v>
      </c>
      <c r="M751" s="4">
        <v>0</v>
      </c>
      <c r="N751" s="4">
        <v>36750</v>
      </c>
      <c r="O751" s="4">
        <v>30000</v>
      </c>
      <c r="P751" s="283">
        <v>30000</v>
      </c>
      <c r="Q751" s="283">
        <v>30000</v>
      </c>
      <c r="R751" s="283">
        <v>30000</v>
      </c>
      <c r="S751" s="2" t="s">
        <v>11</v>
      </c>
      <c r="T751" s="283"/>
      <c r="U751" s="283"/>
      <c r="Z751" s="490"/>
      <c r="AA751" s="60"/>
    </row>
    <row r="752" spans="1:46" s="2" customFormat="1" x14ac:dyDescent="0.25">
      <c r="A752" s="26"/>
      <c r="B752" s="26"/>
      <c r="C752" s="306"/>
      <c r="D752" s="33"/>
      <c r="E752" s="34" t="s">
        <v>12</v>
      </c>
      <c r="F752" s="34"/>
      <c r="G752" s="35" t="s">
        <v>476</v>
      </c>
      <c r="H752" s="35"/>
      <c r="I752" s="35"/>
      <c r="J752" s="17" t="s">
        <v>2</v>
      </c>
      <c r="K752" s="28">
        <v>12967.5</v>
      </c>
      <c r="L752" s="11">
        <v>0</v>
      </c>
      <c r="M752" s="11">
        <v>0</v>
      </c>
      <c r="N752" s="11">
        <f>1983.75+1983.75</f>
        <v>3967.5</v>
      </c>
      <c r="O752" s="11">
        <f>1800+1800</f>
        <v>3600</v>
      </c>
      <c r="P752" s="142">
        <f>1350+1350</f>
        <v>2700</v>
      </c>
      <c r="Q752" s="142">
        <f>900+900</f>
        <v>1800</v>
      </c>
      <c r="R752" s="142">
        <f>450+450</f>
        <v>900</v>
      </c>
      <c r="S752" s="17" t="s">
        <v>11</v>
      </c>
      <c r="T752" s="142"/>
      <c r="U752" s="142"/>
      <c r="V752" s="17"/>
      <c r="W752" s="17"/>
      <c r="X752" s="17"/>
      <c r="Y752" s="17"/>
      <c r="Z752" s="491"/>
      <c r="AA752" s="532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</row>
    <row r="753" spans="1:46" s="6" customFormat="1" ht="13.8" thickBot="1" x14ac:dyDescent="0.3">
      <c r="A753" s="120"/>
      <c r="B753" s="120"/>
      <c r="C753" s="307"/>
      <c r="D753" s="85"/>
      <c r="E753" s="86" t="s">
        <v>160</v>
      </c>
      <c r="F753" s="86" t="s">
        <v>410</v>
      </c>
      <c r="G753" s="125" t="s">
        <v>539</v>
      </c>
      <c r="H753" s="125"/>
      <c r="I753" s="125"/>
      <c r="J753" s="41" t="s">
        <v>6</v>
      </c>
      <c r="K753" s="42">
        <f>K752+K751</f>
        <v>169717.5</v>
      </c>
      <c r="L753" s="43">
        <f>L752+L751</f>
        <v>0</v>
      </c>
      <c r="M753" s="43">
        <f t="shared" ref="M753:Q753" si="549">M752+M751</f>
        <v>0</v>
      </c>
      <c r="N753" s="43">
        <f t="shared" si="549"/>
        <v>40717.5</v>
      </c>
      <c r="O753" s="43">
        <f t="shared" si="549"/>
        <v>33600</v>
      </c>
      <c r="P753" s="43">
        <f t="shared" si="549"/>
        <v>32700</v>
      </c>
      <c r="Q753" s="43">
        <f t="shared" si="549"/>
        <v>31800</v>
      </c>
      <c r="R753" s="43">
        <f t="shared" ref="R753" si="550">R752+R751</f>
        <v>30900</v>
      </c>
      <c r="S753" s="41" t="s">
        <v>11</v>
      </c>
      <c r="T753" s="43"/>
      <c r="U753" s="43"/>
      <c r="V753" s="41"/>
      <c r="W753" s="41"/>
      <c r="X753" s="41"/>
      <c r="Y753" s="41"/>
      <c r="Z753" s="492"/>
      <c r="AA753" s="533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</row>
    <row r="754" spans="1:46" s="2" customFormat="1" x14ac:dyDescent="0.25">
      <c r="A754" s="26" t="s">
        <v>98</v>
      </c>
      <c r="B754" s="26" t="s">
        <v>96</v>
      </c>
      <c r="C754" s="306"/>
      <c r="D754" s="33" t="s">
        <v>3</v>
      </c>
      <c r="E754" s="34">
        <v>41409</v>
      </c>
      <c r="F754" s="34" t="s">
        <v>259</v>
      </c>
      <c r="G754" s="35" t="s">
        <v>129</v>
      </c>
      <c r="H754" s="35">
        <v>31300248</v>
      </c>
      <c r="I754" s="35">
        <v>585002</v>
      </c>
      <c r="J754" s="2" t="s">
        <v>1</v>
      </c>
      <c r="K754" s="27">
        <v>561821</v>
      </c>
      <c r="L754" s="4">
        <v>0</v>
      </c>
      <c r="M754" s="4">
        <v>0</v>
      </c>
      <c r="N754" s="4">
        <v>61821</v>
      </c>
      <c r="O754" s="4">
        <v>60000</v>
      </c>
      <c r="P754" s="283">
        <v>55000</v>
      </c>
      <c r="Q754" s="283">
        <v>55000</v>
      </c>
      <c r="R754" s="283">
        <v>55000</v>
      </c>
      <c r="S754" s="283">
        <v>55000</v>
      </c>
      <c r="T754" s="283">
        <v>55000</v>
      </c>
      <c r="U754" s="283">
        <v>55000</v>
      </c>
      <c r="V754" s="283">
        <v>55000</v>
      </c>
      <c r="W754" s="283">
        <v>55000</v>
      </c>
      <c r="X754" s="2" t="s">
        <v>11</v>
      </c>
      <c r="Y754" s="283"/>
      <c r="Z754" s="497"/>
      <c r="AA754" s="536"/>
      <c r="AB754" s="5"/>
      <c r="AC754" s="5"/>
    </row>
    <row r="755" spans="1:46" s="2" customFormat="1" x14ac:dyDescent="0.25">
      <c r="A755" s="400" t="s">
        <v>978</v>
      </c>
      <c r="B755" s="26"/>
      <c r="C755" s="306"/>
      <c r="D755" s="33"/>
      <c r="E755" s="34" t="s">
        <v>12</v>
      </c>
      <c r="F755" s="34"/>
      <c r="G755" s="35" t="s">
        <v>477</v>
      </c>
      <c r="H755" s="35"/>
      <c r="I755" s="35"/>
      <c r="J755" s="17" t="s">
        <v>2</v>
      </c>
      <c r="K755" s="28">
        <v>87818.21</v>
      </c>
      <c r="L755" s="11">
        <v>0</v>
      </c>
      <c r="M755" s="11">
        <v>0</v>
      </c>
      <c r="N755" s="11">
        <f>7809.11+7809.1</f>
        <v>15618.21</v>
      </c>
      <c r="O755" s="11">
        <f>7500+7500</f>
        <v>15000</v>
      </c>
      <c r="P755" s="142">
        <f>6600+6600</f>
        <v>13200</v>
      </c>
      <c r="Q755" s="142">
        <f>5775+5775</f>
        <v>11550</v>
      </c>
      <c r="R755" s="142">
        <f>4950+4950</f>
        <v>9900</v>
      </c>
      <c r="S755" s="142">
        <f>4125+4125</f>
        <v>8250</v>
      </c>
      <c r="T755" s="142">
        <f>3300+3300</f>
        <v>6600</v>
      </c>
      <c r="U755" s="142">
        <f>2200+2200</f>
        <v>4400</v>
      </c>
      <c r="V755" s="142">
        <f>1100+1100</f>
        <v>2200</v>
      </c>
      <c r="W755" s="142">
        <f>550+550</f>
        <v>1100</v>
      </c>
      <c r="X755" s="17" t="s">
        <v>11</v>
      </c>
      <c r="Y755" s="142"/>
      <c r="Z755" s="500"/>
      <c r="AA755" s="539"/>
      <c r="AB755" s="21"/>
      <c r="AC755" s="21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</row>
    <row r="756" spans="1:46" s="6" customFormat="1" ht="13.8" thickBot="1" x14ac:dyDescent="0.3">
      <c r="A756" s="409" t="s">
        <v>1117</v>
      </c>
      <c r="B756" s="120"/>
      <c r="C756" s="307"/>
      <c r="D756" s="85"/>
      <c r="E756" s="86" t="s">
        <v>17</v>
      </c>
      <c r="F756" s="86" t="s">
        <v>410</v>
      </c>
      <c r="G756" s="125"/>
      <c r="H756" s="125"/>
      <c r="I756" s="125"/>
      <c r="J756" s="41" t="s">
        <v>6</v>
      </c>
      <c r="K756" s="42">
        <f>K755+K754</f>
        <v>649639.21</v>
      </c>
      <c r="L756" s="43">
        <f>L755+L754</f>
        <v>0</v>
      </c>
      <c r="M756" s="43">
        <f t="shared" ref="M756:Q756" si="551">M755+M754</f>
        <v>0</v>
      </c>
      <c r="N756" s="43">
        <f t="shared" si="551"/>
        <v>77439.209999999992</v>
      </c>
      <c r="O756" s="43">
        <f t="shared" si="551"/>
        <v>75000</v>
      </c>
      <c r="P756" s="43">
        <f t="shared" si="551"/>
        <v>68200</v>
      </c>
      <c r="Q756" s="43">
        <f t="shared" si="551"/>
        <v>66550</v>
      </c>
      <c r="R756" s="43">
        <f t="shared" ref="R756" si="552">R755+R754</f>
        <v>64900</v>
      </c>
      <c r="S756" s="43">
        <f t="shared" ref="S756" si="553">S755+S754</f>
        <v>63250</v>
      </c>
      <c r="T756" s="43">
        <f t="shared" ref="T756" si="554">T755+T754</f>
        <v>61600</v>
      </c>
      <c r="U756" s="43">
        <f t="shared" ref="U756" si="555">U755+U754</f>
        <v>59400</v>
      </c>
      <c r="V756" s="43">
        <f t="shared" ref="V756" si="556">V755+V754</f>
        <v>57200</v>
      </c>
      <c r="W756" s="43">
        <f t="shared" ref="W756" si="557">W755+W754</f>
        <v>56100</v>
      </c>
      <c r="X756" s="41" t="s">
        <v>11</v>
      </c>
      <c r="Y756" s="43"/>
      <c r="Z756" s="499"/>
      <c r="AA756" s="538"/>
      <c r="AB756" s="43"/>
      <c r="AC756" s="43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</row>
    <row r="757" spans="1:46" s="2" customFormat="1" x14ac:dyDescent="0.25">
      <c r="A757" s="26" t="s">
        <v>98</v>
      </c>
      <c r="B757" s="26" t="s">
        <v>96</v>
      </c>
      <c r="C757" s="306"/>
      <c r="D757" s="33" t="s">
        <v>3</v>
      </c>
      <c r="E757" s="34">
        <v>41409</v>
      </c>
      <c r="F757" s="34" t="s">
        <v>258</v>
      </c>
      <c r="G757" s="35" t="s">
        <v>478</v>
      </c>
      <c r="H757" s="35">
        <v>31300248</v>
      </c>
      <c r="I757" s="35">
        <v>585106</v>
      </c>
      <c r="J757" s="2" t="s">
        <v>1</v>
      </c>
      <c r="K757" s="27">
        <v>89249</v>
      </c>
      <c r="L757" s="4">
        <v>0</v>
      </c>
      <c r="M757" s="4">
        <v>0</v>
      </c>
      <c r="N757" s="4">
        <v>24249</v>
      </c>
      <c r="O757" s="4">
        <v>20000</v>
      </c>
      <c r="P757" s="283">
        <v>15000</v>
      </c>
      <c r="Q757" s="283">
        <v>15000</v>
      </c>
      <c r="R757" s="283">
        <v>15000</v>
      </c>
      <c r="S757" s="2" t="s">
        <v>11</v>
      </c>
      <c r="T757" s="283"/>
      <c r="U757" s="283"/>
      <c r="Z757" s="490"/>
      <c r="AA757" s="60"/>
    </row>
    <row r="758" spans="1:46" s="2" customFormat="1" x14ac:dyDescent="0.25">
      <c r="A758" s="26"/>
      <c r="B758" s="26"/>
      <c r="C758" s="306"/>
      <c r="D758" s="33"/>
      <c r="E758" s="34" t="s">
        <v>12</v>
      </c>
      <c r="F758" s="34"/>
      <c r="G758" s="35" t="s">
        <v>479</v>
      </c>
      <c r="H758" s="35"/>
      <c r="I758" s="35"/>
      <c r="J758" s="17" t="s">
        <v>2</v>
      </c>
      <c r="K758" s="28">
        <v>6842.49</v>
      </c>
      <c r="L758" s="11">
        <v>0</v>
      </c>
      <c r="M758" s="11">
        <v>0</v>
      </c>
      <c r="N758" s="11">
        <f>1096.25+1096.24</f>
        <v>2192.4899999999998</v>
      </c>
      <c r="O758" s="11">
        <f>975+975</f>
        <v>1950</v>
      </c>
      <c r="P758" s="142">
        <f>675+675</f>
        <v>1350</v>
      </c>
      <c r="Q758" s="142">
        <f>450+450</f>
        <v>900</v>
      </c>
      <c r="R758" s="142">
        <f>225+225</f>
        <v>450</v>
      </c>
      <c r="S758" s="17" t="s">
        <v>11</v>
      </c>
      <c r="T758" s="142"/>
      <c r="U758" s="142"/>
      <c r="V758" s="17"/>
      <c r="W758" s="17"/>
      <c r="X758" s="17"/>
      <c r="Y758" s="17"/>
      <c r="Z758" s="491"/>
      <c r="AA758" s="532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</row>
    <row r="759" spans="1:46" s="6" customFormat="1" ht="13.8" thickBot="1" x14ac:dyDescent="0.3">
      <c r="A759" s="120"/>
      <c r="B759" s="120"/>
      <c r="C759" s="307"/>
      <c r="D759" s="85"/>
      <c r="E759" s="86" t="s">
        <v>17</v>
      </c>
      <c r="F759" s="86" t="s">
        <v>410</v>
      </c>
      <c r="G759" s="125" t="s">
        <v>527</v>
      </c>
      <c r="H759" s="125"/>
      <c r="I759" s="125"/>
      <c r="J759" s="41" t="s">
        <v>6</v>
      </c>
      <c r="K759" s="42">
        <f>K758+K757</f>
        <v>96091.49</v>
      </c>
      <c r="L759" s="43">
        <f>L758+L757</f>
        <v>0</v>
      </c>
      <c r="M759" s="43">
        <f t="shared" ref="M759:Q759" si="558">M758+M757</f>
        <v>0</v>
      </c>
      <c r="N759" s="43">
        <f t="shared" si="558"/>
        <v>26441.489999999998</v>
      </c>
      <c r="O759" s="43">
        <f t="shared" si="558"/>
        <v>21950</v>
      </c>
      <c r="P759" s="43">
        <f t="shared" si="558"/>
        <v>16350</v>
      </c>
      <c r="Q759" s="43">
        <f t="shared" si="558"/>
        <v>15900</v>
      </c>
      <c r="R759" s="43">
        <f t="shared" ref="R759" si="559">R758+R757</f>
        <v>15450</v>
      </c>
      <c r="S759" s="41" t="s">
        <v>11</v>
      </c>
      <c r="T759" s="43"/>
      <c r="U759" s="43"/>
      <c r="V759" s="41"/>
      <c r="W759" s="41"/>
      <c r="X759" s="41"/>
      <c r="Y759" s="41"/>
      <c r="Z759" s="492"/>
      <c r="AA759" s="533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</row>
    <row r="760" spans="1:46" s="2" customFormat="1" x14ac:dyDescent="0.25">
      <c r="A760" s="26" t="s">
        <v>95</v>
      </c>
      <c r="B760" s="26" t="s">
        <v>96</v>
      </c>
      <c r="C760" s="306"/>
      <c r="D760" s="33" t="s">
        <v>3</v>
      </c>
      <c r="E760" s="34">
        <v>41409</v>
      </c>
      <c r="F760" s="34" t="s">
        <v>269</v>
      </c>
      <c r="G760" s="35" t="s">
        <v>480</v>
      </c>
      <c r="H760" s="35">
        <v>31300248</v>
      </c>
      <c r="I760" s="35">
        <v>582010</v>
      </c>
      <c r="J760" s="2" t="s">
        <v>1</v>
      </c>
      <c r="K760" s="27">
        <v>95000</v>
      </c>
      <c r="L760" s="4">
        <v>0</v>
      </c>
      <c r="M760" s="4">
        <v>0</v>
      </c>
      <c r="N760" s="4">
        <v>20000</v>
      </c>
      <c r="O760" s="4">
        <v>20000</v>
      </c>
      <c r="P760" s="283">
        <v>20000</v>
      </c>
      <c r="Q760" s="283">
        <v>20000</v>
      </c>
      <c r="R760" s="283">
        <v>15000</v>
      </c>
      <c r="S760" s="2" t="s">
        <v>11</v>
      </c>
      <c r="T760" s="283"/>
      <c r="Z760" s="490"/>
      <c r="AA760" s="60"/>
    </row>
    <row r="761" spans="1:46" s="2" customFormat="1" x14ac:dyDescent="0.25">
      <c r="A761" s="26"/>
      <c r="B761" s="26"/>
      <c r="C761" s="306"/>
      <c r="D761" s="33"/>
      <c r="E761" s="34" t="s">
        <v>12</v>
      </c>
      <c r="F761" s="34"/>
      <c r="G761" s="35" t="s">
        <v>481</v>
      </c>
      <c r="H761" s="35"/>
      <c r="I761" s="35"/>
      <c r="J761" s="17" t="s">
        <v>2</v>
      </c>
      <c r="K761" s="28">
        <v>7850</v>
      </c>
      <c r="L761" s="11">
        <v>0</v>
      </c>
      <c r="M761" s="11">
        <v>0</v>
      </c>
      <c r="N761" s="11">
        <f>1225+1225</f>
        <v>2450</v>
      </c>
      <c r="O761" s="11">
        <f>1125+1125</f>
        <v>2250</v>
      </c>
      <c r="P761" s="142">
        <f>825+825</f>
        <v>1650</v>
      </c>
      <c r="Q761" s="142">
        <f>525+525</f>
        <v>1050</v>
      </c>
      <c r="R761" s="142">
        <f>225+225</f>
        <v>450</v>
      </c>
      <c r="S761" s="17" t="s">
        <v>11</v>
      </c>
      <c r="T761" s="366"/>
      <c r="Z761" s="490"/>
      <c r="AA761" s="60"/>
    </row>
    <row r="762" spans="1:46" s="6" customFormat="1" ht="13.8" thickBot="1" x14ac:dyDescent="0.3">
      <c r="A762" s="120"/>
      <c r="B762" s="120"/>
      <c r="C762" s="307"/>
      <c r="D762" s="85"/>
      <c r="E762" s="86" t="s">
        <v>161</v>
      </c>
      <c r="F762" s="86" t="s">
        <v>410</v>
      </c>
      <c r="G762" s="125"/>
      <c r="H762" s="125"/>
      <c r="I762" s="125"/>
      <c r="J762" s="41" t="s">
        <v>6</v>
      </c>
      <c r="K762" s="42">
        <f>K761+K760</f>
        <v>102850</v>
      </c>
      <c r="L762" s="43">
        <f>L761+L760</f>
        <v>0</v>
      </c>
      <c r="M762" s="43">
        <f t="shared" ref="M762" si="560">M761+M760</f>
        <v>0</v>
      </c>
      <c r="N762" s="43">
        <f t="shared" ref="N762" si="561">N761+N760</f>
        <v>22450</v>
      </c>
      <c r="O762" s="43">
        <f t="shared" ref="O762" si="562">O761+O760</f>
        <v>22250</v>
      </c>
      <c r="P762" s="43">
        <f t="shared" ref="P762" si="563">P761+P760</f>
        <v>21650</v>
      </c>
      <c r="Q762" s="43">
        <f t="shared" ref="Q762" si="564">Q761+Q760</f>
        <v>21050</v>
      </c>
      <c r="R762" s="43">
        <f t="shared" ref="R762" si="565">R761+R760</f>
        <v>15450</v>
      </c>
      <c r="S762" s="41" t="s">
        <v>11</v>
      </c>
      <c r="T762" s="43"/>
      <c r="U762" s="41"/>
      <c r="V762" s="41"/>
      <c r="W762" s="41"/>
      <c r="X762" s="41"/>
      <c r="Y762" s="41"/>
      <c r="Z762" s="492"/>
      <c r="AA762" s="533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</row>
    <row r="763" spans="1:46" s="2" customFormat="1" x14ac:dyDescent="0.25">
      <c r="A763" s="26" t="s">
        <v>98</v>
      </c>
      <c r="B763" s="26" t="s">
        <v>96</v>
      </c>
      <c r="C763" s="306"/>
      <c r="D763" s="33" t="s">
        <v>3</v>
      </c>
      <c r="E763" s="34">
        <v>41409</v>
      </c>
      <c r="F763" s="34" t="s">
        <v>258</v>
      </c>
      <c r="G763" s="35" t="s">
        <v>482</v>
      </c>
      <c r="H763" s="35">
        <v>31300248</v>
      </c>
      <c r="I763" s="35">
        <v>585004</v>
      </c>
      <c r="J763" s="2" t="s">
        <v>1</v>
      </c>
      <c r="K763" s="27">
        <v>33750</v>
      </c>
      <c r="L763" s="4">
        <v>0</v>
      </c>
      <c r="M763" s="4">
        <v>0</v>
      </c>
      <c r="N763" s="4">
        <v>13750</v>
      </c>
      <c r="O763" s="4">
        <v>5000</v>
      </c>
      <c r="P763" s="283">
        <v>5000</v>
      </c>
      <c r="Q763" s="283">
        <v>5000</v>
      </c>
      <c r="R763" s="283">
        <v>5000</v>
      </c>
      <c r="S763" s="2" t="s">
        <v>11</v>
      </c>
      <c r="T763" s="283"/>
      <c r="U763" s="283"/>
      <c r="Z763" s="490"/>
      <c r="AA763" s="60"/>
    </row>
    <row r="764" spans="1:46" s="2" customFormat="1" x14ac:dyDescent="0.25">
      <c r="A764" s="26"/>
      <c r="B764" s="26"/>
      <c r="C764" s="306"/>
      <c r="D764" s="33"/>
      <c r="E764" s="34" t="s">
        <v>12</v>
      </c>
      <c r="F764" s="34"/>
      <c r="G764" s="35" t="s">
        <v>483</v>
      </c>
      <c r="H764" s="35"/>
      <c r="I764" s="35"/>
      <c r="J764" s="17" t="s">
        <v>2</v>
      </c>
      <c r="K764" s="28">
        <v>2237.5</v>
      </c>
      <c r="L764" s="11">
        <v>0</v>
      </c>
      <c r="M764" s="11">
        <v>0</v>
      </c>
      <c r="N764" s="11">
        <f>368.75+368.75</f>
        <v>737.5</v>
      </c>
      <c r="O764" s="11">
        <f>300+300</f>
        <v>600</v>
      </c>
      <c r="P764" s="142">
        <f>225+225</f>
        <v>450</v>
      </c>
      <c r="Q764" s="142">
        <f>150+150</f>
        <v>300</v>
      </c>
      <c r="R764" s="142">
        <f>75+75</f>
        <v>150</v>
      </c>
      <c r="S764" s="17" t="s">
        <v>11</v>
      </c>
      <c r="T764" s="142"/>
      <c r="U764" s="142"/>
      <c r="V764" s="17"/>
      <c r="W764" s="17"/>
      <c r="X764" s="17"/>
      <c r="Y764" s="17"/>
      <c r="Z764" s="491"/>
      <c r="AA764" s="532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</row>
    <row r="765" spans="1:46" s="6" customFormat="1" ht="13.8" thickBot="1" x14ac:dyDescent="0.3">
      <c r="A765" s="120"/>
      <c r="B765" s="120"/>
      <c r="C765" s="307"/>
      <c r="D765" s="85"/>
      <c r="E765" s="86" t="s">
        <v>17</v>
      </c>
      <c r="F765" s="86" t="s">
        <v>410</v>
      </c>
      <c r="G765" s="125" t="s">
        <v>612</v>
      </c>
      <c r="H765" s="125"/>
      <c r="I765" s="125"/>
      <c r="J765" s="41" t="s">
        <v>6</v>
      </c>
      <c r="K765" s="42">
        <f>K764+K763</f>
        <v>35987.5</v>
      </c>
      <c r="L765" s="43">
        <f>L764+L763</f>
        <v>0</v>
      </c>
      <c r="M765" s="43">
        <f t="shared" ref="M765:Q765" si="566">M764+M763</f>
        <v>0</v>
      </c>
      <c r="N765" s="43">
        <f t="shared" si="566"/>
        <v>14487.5</v>
      </c>
      <c r="O765" s="43">
        <f t="shared" si="566"/>
        <v>5600</v>
      </c>
      <c r="P765" s="43">
        <f t="shared" si="566"/>
        <v>5450</v>
      </c>
      <c r="Q765" s="43">
        <f t="shared" si="566"/>
        <v>5300</v>
      </c>
      <c r="R765" s="43">
        <f t="shared" ref="R765" si="567">R764+R763</f>
        <v>5150</v>
      </c>
      <c r="S765" s="41" t="s">
        <v>11</v>
      </c>
      <c r="T765" s="43"/>
      <c r="U765" s="43"/>
      <c r="V765" s="41"/>
      <c r="W765" s="41"/>
      <c r="X765" s="41"/>
      <c r="Y765" s="41"/>
      <c r="Z765" s="492"/>
      <c r="AA765" s="533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</row>
    <row r="766" spans="1:46" s="2" customFormat="1" x14ac:dyDescent="0.25">
      <c r="A766" s="26" t="s">
        <v>95</v>
      </c>
      <c r="B766" s="26" t="s">
        <v>97</v>
      </c>
      <c r="C766" s="306"/>
      <c r="D766" s="33" t="s">
        <v>3</v>
      </c>
      <c r="E766" s="34">
        <v>41409</v>
      </c>
      <c r="F766" s="34" t="s">
        <v>269</v>
      </c>
      <c r="G766" s="322" t="s">
        <v>484</v>
      </c>
      <c r="H766" s="322">
        <v>31300251</v>
      </c>
      <c r="I766" s="322">
        <v>582006</v>
      </c>
      <c r="J766" s="2" t="s">
        <v>1</v>
      </c>
      <c r="K766" s="27">
        <v>477390</v>
      </c>
      <c r="L766" s="4">
        <v>0</v>
      </c>
      <c r="M766" s="4">
        <v>0</v>
      </c>
      <c r="N766" s="4">
        <v>37390</v>
      </c>
      <c r="O766" s="4">
        <v>35000</v>
      </c>
      <c r="P766" s="283">
        <v>35000</v>
      </c>
      <c r="Q766" s="283">
        <v>35000</v>
      </c>
      <c r="R766" s="283">
        <v>35000</v>
      </c>
      <c r="S766" s="283">
        <v>30000</v>
      </c>
      <c r="T766" s="283">
        <v>30000</v>
      </c>
      <c r="U766" s="283">
        <v>30000</v>
      </c>
      <c r="V766" s="283">
        <v>30000</v>
      </c>
      <c r="W766" s="283">
        <v>30000</v>
      </c>
      <c r="X766" s="283">
        <v>30000</v>
      </c>
      <c r="Y766" s="283">
        <v>30000</v>
      </c>
      <c r="Z766" s="497">
        <v>30000</v>
      </c>
      <c r="AA766" s="536">
        <v>30000</v>
      </c>
      <c r="AB766" s="5">
        <v>30000</v>
      </c>
      <c r="AC766" s="2" t="s">
        <v>11</v>
      </c>
    </row>
    <row r="767" spans="1:46" s="2" customFormat="1" x14ac:dyDescent="0.25">
      <c r="A767" s="400" t="s">
        <v>979</v>
      </c>
      <c r="B767" s="26"/>
      <c r="C767" s="306"/>
      <c r="D767" s="33"/>
      <c r="E767" s="317" t="s">
        <v>13</v>
      </c>
      <c r="F767" s="34" t="s">
        <v>355</v>
      </c>
      <c r="G767" s="35" t="s">
        <v>788</v>
      </c>
      <c r="H767" s="35"/>
      <c r="I767" s="35"/>
      <c r="J767" s="17" t="s">
        <v>2</v>
      </c>
      <c r="K767" s="28">
        <v>92653.9</v>
      </c>
      <c r="L767" s="11">
        <v>0</v>
      </c>
      <c r="M767" s="11">
        <v>0</v>
      </c>
      <c r="N767" s="11">
        <f>6171.95+6171.95</f>
        <v>12343.9</v>
      </c>
      <c r="O767" s="11">
        <f>5985+5985</f>
        <v>11970</v>
      </c>
      <c r="P767" s="142">
        <f>5460+5460</f>
        <v>10920</v>
      </c>
      <c r="Q767" s="142">
        <f>4935+4935</f>
        <v>9870</v>
      </c>
      <c r="R767" s="142">
        <f>4410+4410</f>
        <v>8820</v>
      </c>
      <c r="S767" s="142">
        <f>3885+3885</f>
        <v>7770</v>
      </c>
      <c r="T767" s="142">
        <f>3435+3435</f>
        <v>6870</v>
      </c>
      <c r="U767" s="142">
        <f>2835+2835</f>
        <v>5670</v>
      </c>
      <c r="V767" s="142">
        <f>2235+2235</f>
        <v>4470</v>
      </c>
      <c r="W767" s="142">
        <f>1935+1935</f>
        <v>3870</v>
      </c>
      <c r="X767" s="142">
        <f>1635+1635</f>
        <v>3270</v>
      </c>
      <c r="Y767" s="142">
        <f>1335+1335</f>
        <v>2670</v>
      </c>
      <c r="Z767" s="500">
        <f>1035+1035</f>
        <v>2070</v>
      </c>
      <c r="AA767" s="539">
        <f>690+690</f>
        <v>1380</v>
      </c>
      <c r="AB767" s="21">
        <f>345+345</f>
        <v>690</v>
      </c>
      <c r="AC767" s="17" t="s">
        <v>11</v>
      </c>
    </row>
    <row r="768" spans="1:46" s="6" customFormat="1" ht="13.8" thickBot="1" x14ac:dyDescent="0.3">
      <c r="A768" s="409" t="s">
        <v>1121</v>
      </c>
      <c r="B768" s="120"/>
      <c r="C768" s="307"/>
      <c r="D768" s="85"/>
      <c r="E768" s="86" t="s">
        <v>161</v>
      </c>
      <c r="F768" s="86" t="s">
        <v>408</v>
      </c>
      <c r="G768" s="125" t="s">
        <v>751</v>
      </c>
      <c r="H768" s="125"/>
      <c r="I768" s="125"/>
      <c r="J768" s="41" t="s">
        <v>6</v>
      </c>
      <c r="K768" s="42">
        <f>K767+K766</f>
        <v>570043.9</v>
      </c>
      <c r="L768" s="43">
        <f>L767+L766</f>
        <v>0</v>
      </c>
      <c r="M768" s="43">
        <f t="shared" ref="M768" si="568">M767+M766</f>
        <v>0</v>
      </c>
      <c r="N768" s="43">
        <f t="shared" ref="N768" si="569">N767+N766</f>
        <v>49733.9</v>
      </c>
      <c r="O768" s="43">
        <f t="shared" ref="O768" si="570">O767+O766</f>
        <v>46970</v>
      </c>
      <c r="P768" s="43">
        <f t="shared" ref="P768" si="571">P767+P766</f>
        <v>45920</v>
      </c>
      <c r="Q768" s="43">
        <f t="shared" ref="Q768" si="572">Q767+Q766</f>
        <v>44870</v>
      </c>
      <c r="R768" s="43">
        <f t="shared" ref="R768" si="573">R767+R766</f>
        <v>43820</v>
      </c>
      <c r="S768" s="43">
        <f t="shared" ref="S768" si="574">S767+S766</f>
        <v>37770</v>
      </c>
      <c r="T768" s="43">
        <f t="shared" ref="T768" si="575">T767+T766</f>
        <v>36870</v>
      </c>
      <c r="U768" s="43">
        <f t="shared" ref="U768" si="576">U767+U766</f>
        <v>35670</v>
      </c>
      <c r="V768" s="43">
        <f t="shared" ref="V768" si="577">V767+V766</f>
        <v>34470</v>
      </c>
      <c r="W768" s="43">
        <f t="shared" ref="W768" si="578">W767+W766</f>
        <v>33870</v>
      </c>
      <c r="X768" s="43">
        <f t="shared" ref="X768" si="579">X767+X766</f>
        <v>33270</v>
      </c>
      <c r="Y768" s="43">
        <f t="shared" ref="Y768" si="580">Y767+Y766</f>
        <v>32670</v>
      </c>
      <c r="Z768" s="499">
        <f t="shared" ref="Z768" si="581">Z767+Z766</f>
        <v>32070</v>
      </c>
      <c r="AA768" s="538">
        <f t="shared" ref="AA768" si="582">AA767+AA766</f>
        <v>31380</v>
      </c>
      <c r="AB768" s="43">
        <f t="shared" ref="AB768" si="583">AB767+AB766</f>
        <v>30690</v>
      </c>
      <c r="AC768" s="41" t="s">
        <v>11</v>
      </c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</row>
    <row r="769" spans="1:46" s="2" customFormat="1" x14ac:dyDescent="0.25">
      <c r="A769" s="26" t="s">
        <v>95</v>
      </c>
      <c r="B769" s="26" t="s">
        <v>97</v>
      </c>
      <c r="C769" s="306"/>
      <c r="D769" s="33" t="s">
        <v>3</v>
      </c>
      <c r="E769" s="34">
        <v>41409</v>
      </c>
      <c r="F769" s="34" t="s">
        <v>269</v>
      </c>
      <c r="G769" s="35" t="s">
        <v>485</v>
      </c>
      <c r="H769" s="35">
        <v>31300250</v>
      </c>
      <c r="I769" s="35">
        <v>582002</v>
      </c>
      <c r="J769" s="2" t="s">
        <v>1</v>
      </c>
      <c r="K769" s="27">
        <v>63641</v>
      </c>
      <c r="L769" s="4">
        <v>0</v>
      </c>
      <c r="M769" s="4">
        <v>0</v>
      </c>
      <c r="N769" s="4">
        <v>18641</v>
      </c>
      <c r="O769" s="4">
        <v>15000</v>
      </c>
      <c r="P769" s="283">
        <v>10000</v>
      </c>
      <c r="Q769" s="283">
        <v>10000</v>
      </c>
      <c r="R769" s="283">
        <v>10000</v>
      </c>
      <c r="S769" s="2" t="s">
        <v>11</v>
      </c>
      <c r="T769" s="283"/>
      <c r="U769" s="283"/>
      <c r="V769" s="283"/>
      <c r="W769" s="283"/>
      <c r="X769" s="283"/>
      <c r="Y769" s="283"/>
      <c r="Z769" s="497"/>
      <c r="AA769" s="536"/>
      <c r="AB769" s="5"/>
      <c r="AC769" s="5"/>
    </row>
    <row r="770" spans="1:46" s="2" customFormat="1" x14ac:dyDescent="0.25">
      <c r="A770" s="26"/>
      <c r="B770" s="26"/>
      <c r="C770" s="306"/>
      <c r="D770" s="33"/>
      <c r="E770" s="34" t="s">
        <v>13</v>
      </c>
      <c r="F770" s="34" t="s">
        <v>355</v>
      </c>
      <c r="G770" s="35" t="s">
        <v>748</v>
      </c>
      <c r="H770" s="35"/>
      <c r="I770" s="35"/>
      <c r="J770" s="17" t="s">
        <v>2</v>
      </c>
      <c r="K770" s="28">
        <v>4686.41</v>
      </c>
      <c r="L770" s="11">
        <v>0</v>
      </c>
      <c r="M770" s="11">
        <v>0</v>
      </c>
      <c r="N770" s="11">
        <f>768.21+768.2</f>
        <v>1536.41</v>
      </c>
      <c r="O770" s="11">
        <f>675+675</f>
        <v>1350</v>
      </c>
      <c r="P770" s="142">
        <f>450+450</f>
        <v>900</v>
      </c>
      <c r="Q770" s="142">
        <f>300+300</f>
        <v>600</v>
      </c>
      <c r="R770" s="142">
        <f>150+150</f>
        <v>300</v>
      </c>
      <c r="S770" s="17" t="s">
        <v>11</v>
      </c>
      <c r="T770" s="142"/>
      <c r="U770" s="142"/>
      <c r="V770" s="142"/>
      <c r="W770" s="142"/>
      <c r="X770" s="142"/>
      <c r="Y770" s="142"/>
      <c r="Z770" s="500"/>
      <c r="AA770" s="539"/>
      <c r="AB770" s="21"/>
      <c r="AC770" s="21"/>
    </row>
    <row r="771" spans="1:46" s="6" customFormat="1" ht="13.8" thickBot="1" x14ac:dyDescent="0.3">
      <c r="A771" s="120"/>
      <c r="B771" s="120"/>
      <c r="C771" s="307"/>
      <c r="D771" s="85"/>
      <c r="E771" s="86" t="s">
        <v>161</v>
      </c>
      <c r="F771" s="86" t="s">
        <v>410</v>
      </c>
      <c r="G771" s="125" t="s">
        <v>750</v>
      </c>
      <c r="H771" s="125"/>
      <c r="I771" s="125"/>
      <c r="J771" s="41" t="s">
        <v>6</v>
      </c>
      <c r="K771" s="42">
        <f>K770+K769</f>
        <v>68327.41</v>
      </c>
      <c r="L771" s="43">
        <f>L770+L769</f>
        <v>0</v>
      </c>
      <c r="M771" s="43">
        <f t="shared" ref="M771" si="584">M770+M769</f>
        <v>0</v>
      </c>
      <c r="N771" s="43">
        <f t="shared" ref="N771" si="585">N770+N769</f>
        <v>20177.41</v>
      </c>
      <c r="O771" s="43">
        <f t="shared" ref="O771" si="586">O770+O769</f>
        <v>16350</v>
      </c>
      <c r="P771" s="43">
        <f t="shared" ref="P771" si="587">P770+P769</f>
        <v>10900</v>
      </c>
      <c r="Q771" s="43">
        <f t="shared" ref="Q771" si="588">Q770+Q769</f>
        <v>10600</v>
      </c>
      <c r="R771" s="43">
        <f t="shared" ref="R771" si="589">R770+R769</f>
        <v>10300</v>
      </c>
      <c r="S771" s="41" t="s">
        <v>11</v>
      </c>
      <c r="T771" s="43"/>
      <c r="U771" s="43"/>
      <c r="V771" s="43"/>
      <c r="W771" s="43"/>
      <c r="X771" s="43"/>
      <c r="Y771" s="43"/>
      <c r="Z771" s="499"/>
      <c r="AA771" s="538"/>
      <c r="AB771" s="43"/>
      <c r="AC771" s="43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</row>
    <row r="772" spans="1:46" s="2" customFormat="1" x14ac:dyDescent="0.25">
      <c r="A772" s="26" t="s">
        <v>101</v>
      </c>
      <c r="B772" s="26" t="s">
        <v>96</v>
      </c>
      <c r="C772" s="306"/>
      <c r="D772" s="33" t="s">
        <v>3</v>
      </c>
      <c r="E772" s="34">
        <v>41409</v>
      </c>
      <c r="F772" s="34" t="s">
        <v>269</v>
      </c>
      <c r="G772" s="35" t="s">
        <v>146</v>
      </c>
      <c r="H772" s="35">
        <v>31220230</v>
      </c>
      <c r="I772" s="35">
        <v>584007</v>
      </c>
      <c r="J772" s="2" t="s">
        <v>1</v>
      </c>
      <c r="K772" s="138">
        <v>50000</v>
      </c>
      <c r="L772" s="4">
        <v>0</v>
      </c>
      <c r="M772" s="4">
        <v>0</v>
      </c>
      <c r="N772" s="4">
        <v>10000</v>
      </c>
      <c r="O772" s="4">
        <v>10000</v>
      </c>
      <c r="P772" s="4">
        <v>10000</v>
      </c>
      <c r="Q772" s="4">
        <v>10000</v>
      </c>
      <c r="R772" s="4">
        <v>10000</v>
      </c>
      <c r="S772" s="367" t="s">
        <v>11</v>
      </c>
      <c r="T772" s="283"/>
      <c r="U772" s="283"/>
      <c r="Z772" s="490"/>
      <c r="AA772" s="60"/>
    </row>
    <row r="773" spans="1:46" s="2" customFormat="1" x14ac:dyDescent="0.25">
      <c r="A773" s="26"/>
      <c r="B773" s="26"/>
      <c r="C773" s="306"/>
      <c r="D773" s="33"/>
      <c r="E773" s="34" t="s">
        <v>12</v>
      </c>
      <c r="F773" s="34"/>
      <c r="G773" s="35" t="s">
        <v>486</v>
      </c>
      <c r="H773" s="35"/>
      <c r="I773" s="35"/>
      <c r="J773" s="17" t="s">
        <v>2</v>
      </c>
      <c r="K773" s="28">
        <v>4300</v>
      </c>
      <c r="L773" s="11">
        <v>0</v>
      </c>
      <c r="M773" s="11">
        <v>0</v>
      </c>
      <c r="N773" s="11">
        <f>650+650</f>
        <v>1300</v>
      </c>
      <c r="O773" s="11">
        <f>600+600</f>
        <v>1200</v>
      </c>
      <c r="P773" s="11">
        <f>450+450</f>
        <v>900</v>
      </c>
      <c r="Q773" s="11">
        <f>300+300</f>
        <v>600</v>
      </c>
      <c r="R773" s="11">
        <f>150+150</f>
        <v>300</v>
      </c>
      <c r="S773" s="368" t="s">
        <v>11</v>
      </c>
      <c r="T773" s="142"/>
      <c r="U773" s="142"/>
      <c r="V773" s="17"/>
      <c r="W773" s="17"/>
      <c r="X773" s="17"/>
      <c r="Y773" s="17"/>
      <c r="Z773" s="491"/>
      <c r="AA773" s="532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</row>
    <row r="774" spans="1:46" s="6" customFormat="1" ht="13.8" thickBot="1" x14ac:dyDescent="0.3">
      <c r="A774" s="120"/>
      <c r="B774" s="120"/>
      <c r="C774" s="307"/>
      <c r="D774" s="85"/>
      <c r="E774" s="86" t="s">
        <v>40</v>
      </c>
      <c r="F774" s="86" t="s">
        <v>410</v>
      </c>
      <c r="G774" s="125" t="s">
        <v>487</v>
      </c>
      <c r="H774" s="145"/>
      <c r="I774" s="145"/>
      <c r="J774" s="41" t="s">
        <v>6</v>
      </c>
      <c r="K774" s="42">
        <f>K773+K772</f>
        <v>54300</v>
      </c>
      <c r="L774" s="43">
        <f>L773+L772</f>
        <v>0</v>
      </c>
      <c r="M774" s="43">
        <f t="shared" ref="M774:P774" si="590">M773+M772</f>
        <v>0</v>
      </c>
      <c r="N774" s="43">
        <f t="shared" si="590"/>
        <v>11300</v>
      </c>
      <c r="O774" s="43">
        <f t="shared" si="590"/>
        <v>11200</v>
      </c>
      <c r="P774" s="43">
        <f t="shared" si="590"/>
        <v>10900</v>
      </c>
      <c r="Q774" s="43">
        <f t="shared" ref="Q774:R774" si="591">Q773+Q772</f>
        <v>10600</v>
      </c>
      <c r="R774" s="43">
        <f t="shared" si="591"/>
        <v>10300</v>
      </c>
      <c r="S774" s="41" t="s">
        <v>11</v>
      </c>
      <c r="T774" s="43"/>
      <c r="U774" s="43"/>
      <c r="V774" s="41"/>
      <c r="W774" s="41"/>
      <c r="X774" s="41"/>
      <c r="Y774" s="41"/>
      <c r="Z774" s="492"/>
      <c r="AA774" s="533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</row>
    <row r="775" spans="1:46" s="2" customFormat="1" x14ac:dyDescent="0.25">
      <c r="A775" s="26" t="s">
        <v>102</v>
      </c>
      <c r="B775" s="26" t="s">
        <v>96</v>
      </c>
      <c r="C775" s="306"/>
      <c r="D775" s="33" t="s">
        <v>3</v>
      </c>
      <c r="E775" s="34">
        <v>41409</v>
      </c>
      <c r="F775" s="34" t="s">
        <v>258</v>
      </c>
      <c r="G775" s="35" t="s">
        <v>357</v>
      </c>
      <c r="H775" s="35">
        <v>31220243</v>
      </c>
      <c r="I775" s="35">
        <v>587007</v>
      </c>
      <c r="J775" s="2" t="s">
        <v>1</v>
      </c>
      <c r="K775" s="27">
        <v>40131</v>
      </c>
      <c r="L775" s="4">
        <v>0</v>
      </c>
      <c r="M775" s="4">
        <v>0</v>
      </c>
      <c r="N775" s="4">
        <v>10131</v>
      </c>
      <c r="O775" s="4">
        <v>10000</v>
      </c>
      <c r="P775" s="283">
        <v>10000</v>
      </c>
      <c r="Q775" s="283">
        <v>10000</v>
      </c>
      <c r="R775" s="2" t="s">
        <v>11</v>
      </c>
      <c r="S775" s="283"/>
      <c r="T775" s="283"/>
      <c r="U775" s="283"/>
      <c r="Z775" s="490"/>
      <c r="AA775" s="60"/>
    </row>
    <row r="776" spans="1:46" s="2" customFormat="1" x14ac:dyDescent="0.25">
      <c r="A776" s="26"/>
      <c r="B776" s="26"/>
      <c r="C776" s="306"/>
      <c r="D776" s="33"/>
      <c r="E776" s="34" t="s">
        <v>12</v>
      </c>
      <c r="F776" s="34"/>
      <c r="G776" s="35" t="s">
        <v>488</v>
      </c>
      <c r="H776" s="35"/>
      <c r="I776" s="35"/>
      <c r="J776" s="17" t="s">
        <v>2</v>
      </c>
      <c r="K776" s="28">
        <v>2801.31</v>
      </c>
      <c r="L776" s="11">
        <v>0</v>
      </c>
      <c r="M776" s="11">
        <v>0</v>
      </c>
      <c r="N776" s="11">
        <f>500.66+500.65</f>
        <v>1001.31</v>
      </c>
      <c r="O776" s="11">
        <f>450+450</f>
        <v>900</v>
      </c>
      <c r="P776" s="142">
        <f>300+300</f>
        <v>600</v>
      </c>
      <c r="Q776" s="142">
        <f>150+150</f>
        <v>300</v>
      </c>
      <c r="R776" s="17" t="s">
        <v>11</v>
      </c>
      <c r="S776" s="142"/>
      <c r="T776" s="142"/>
      <c r="U776" s="142"/>
      <c r="V776" s="17"/>
      <c r="W776" s="17"/>
      <c r="X776" s="17"/>
      <c r="Y776" s="17"/>
      <c r="Z776" s="491"/>
      <c r="AA776" s="532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</row>
    <row r="777" spans="1:46" s="6" customFormat="1" ht="13.8" thickBot="1" x14ac:dyDescent="0.3">
      <c r="A777" s="120"/>
      <c r="B777" s="120"/>
      <c r="C777" s="307"/>
      <c r="D777" s="85"/>
      <c r="E777" s="86" t="s">
        <v>160</v>
      </c>
      <c r="F777" s="86" t="s">
        <v>410</v>
      </c>
      <c r="G777" s="125" t="s">
        <v>489</v>
      </c>
      <c r="H777" s="141"/>
      <c r="I777" s="141"/>
      <c r="J777" s="41" t="s">
        <v>6</v>
      </c>
      <c r="K777" s="42">
        <f>K776+K775</f>
        <v>42932.31</v>
      </c>
      <c r="L777" s="43">
        <f>L776+L775</f>
        <v>0</v>
      </c>
      <c r="M777" s="43">
        <f t="shared" ref="M777:Q777" si="592">M776+M775</f>
        <v>0</v>
      </c>
      <c r="N777" s="43">
        <f t="shared" si="592"/>
        <v>11132.31</v>
      </c>
      <c r="O777" s="43">
        <f t="shared" si="592"/>
        <v>10900</v>
      </c>
      <c r="P777" s="43">
        <f t="shared" si="592"/>
        <v>10600</v>
      </c>
      <c r="Q777" s="43">
        <f t="shared" si="592"/>
        <v>10300</v>
      </c>
      <c r="R777" s="41" t="s">
        <v>11</v>
      </c>
      <c r="S777" s="43"/>
      <c r="T777" s="43"/>
      <c r="U777" s="43"/>
      <c r="V777" s="41"/>
      <c r="W777" s="41"/>
      <c r="X777" s="41"/>
      <c r="Y777" s="41"/>
      <c r="Z777" s="492"/>
      <c r="AA777" s="533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</row>
    <row r="778" spans="1:46" s="2" customFormat="1" x14ac:dyDescent="0.25">
      <c r="A778" s="26" t="s">
        <v>101</v>
      </c>
      <c r="B778" s="26" t="s">
        <v>96</v>
      </c>
      <c r="C778" s="306"/>
      <c r="D778" s="33" t="s">
        <v>3</v>
      </c>
      <c r="E778" s="34">
        <v>41409</v>
      </c>
      <c r="F778" s="34" t="s">
        <v>269</v>
      </c>
      <c r="G778" s="35" t="s">
        <v>240</v>
      </c>
      <c r="H778" s="35">
        <v>31610230</v>
      </c>
      <c r="I778" s="35">
        <v>585117</v>
      </c>
      <c r="J778" s="2" t="s">
        <v>1</v>
      </c>
      <c r="K778" s="138">
        <v>42360</v>
      </c>
      <c r="L778" s="4">
        <v>0</v>
      </c>
      <c r="M778" s="4">
        <v>0</v>
      </c>
      <c r="N778" s="4">
        <v>12360</v>
      </c>
      <c r="O778" s="4">
        <v>10000</v>
      </c>
      <c r="P778" s="4">
        <v>10000</v>
      </c>
      <c r="Q778" s="4">
        <v>5000</v>
      </c>
      <c r="R778" s="4">
        <v>5000</v>
      </c>
      <c r="S778" s="367" t="s">
        <v>11</v>
      </c>
      <c r="T778" s="283"/>
      <c r="U778" s="283"/>
      <c r="Z778" s="490"/>
      <c r="AA778" s="60"/>
    </row>
    <row r="779" spans="1:46" s="2" customFormat="1" x14ac:dyDescent="0.25">
      <c r="A779" s="26"/>
      <c r="B779" s="26"/>
      <c r="C779" s="306"/>
      <c r="D779" s="33"/>
      <c r="E779" s="34" t="s">
        <v>12</v>
      </c>
      <c r="F779" s="34"/>
      <c r="G779" s="35" t="s">
        <v>384</v>
      </c>
      <c r="H779" s="35"/>
      <c r="I779" s="35"/>
      <c r="J779" s="17" t="s">
        <v>2</v>
      </c>
      <c r="K779" s="28">
        <v>2973.6</v>
      </c>
      <c r="L779" s="11">
        <v>0</v>
      </c>
      <c r="M779" s="11">
        <v>0</v>
      </c>
      <c r="N779" s="11">
        <f>511.8+511.8</f>
        <v>1023.6</v>
      </c>
      <c r="O779" s="11">
        <f>450+450</f>
        <v>900</v>
      </c>
      <c r="P779" s="11">
        <f>300+300</f>
        <v>600</v>
      </c>
      <c r="Q779" s="11">
        <f>150+150</f>
        <v>300</v>
      </c>
      <c r="R779" s="11">
        <f>75+75</f>
        <v>150</v>
      </c>
      <c r="S779" s="368" t="s">
        <v>11</v>
      </c>
      <c r="T779" s="142"/>
      <c r="U779" s="142"/>
      <c r="V779" s="17"/>
      <c r="W779" s="17"/>
      <c r="X779" s="17"/>
      <c r="Y779" s="17"/>
      <c r="Z779" s="491"/>
      <c r="AA779" s="532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</row>
    <row r="780" spans="1:46" s="6" customFormat="1" ht="13.8" thickBot="1" x14ac:dyDescent="0.3">
      <c r="A780" s="120"/>
      <c r="B780" s="120"/>
      <c r="C780" s="307"/>
      <c r="D780" s="85"/>
      <c r="E780" s="86" t="s">
        <v>40</v>
      </c>
      <c r="F780" s="86" t="s">
        <v>410</v>
      </c>
      <c r="G780" s="125" t="s">
        <v>532</v>
      </c>
      <c r="H780" s="141"/>
      <c r="I780" s="141"/>
      <c r="J780" s="41" t="s">
        <v>6</v>
      </c>
      <c r="K780" s="42">
        <f>K779+K778</f>
        <v>45333.599999999999</v>
      </c>
      <c r="L780" s="43">
        <f>L779+L778</f>
        <v>0</v>
      </c>
      <c r="M780" s="43">
        <f t="shared" ref="M780:R780" si="593">M779+M778</f>
        <v>0</v>
      </c>
      <c r="N780" s="43">
        <f t="shared" si="593"/>
        <v>13383.6</v>
      </c>
      <c r="O780" s="43">
        <f t="shared" si="593"/>
        <v>10900</v>
      </c>
      <c r="P780" s="43">
        <f t="shared" si="593"/>
        <v>10600</v>
      </c>
      <c r="Q780" s="43">
        <f t="shared" si="593"/>
        <v>5300</v>
      </c>
      <c r="R780" s="43">
        <f t="shared" si="593"/>
        <v>5150</v>
      </c>
      <c r="S780" s="41" t="s">
        <v>11</v>
      </c>
      <c r="T780" s="43"/>
      <c r="U780" s="43"/>
      <c r="V780" s="41"/>
      <c r="W780" s="41"/>
      <c r="X780" s="41"/>
      <c r="Y780" s="41"/>
      <c r="Z780" s="492"/>
      <c r="AA780" s="533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</row>
    <row r="781" spans="1:46" s="2" customFormat="1" x14ac:dyDescent="0.25">
      <c r="A781" s="26" t="s">
        <v>101</v>
      </c>
      <c r="B781" s="26" t="s">
        <v>96</v>
      </c>
      <c r="C781" s="306"/>
      <c r="D781" s="33" t="s">
        <v>3</v>
      </c>
      <c r="E781" s="34">
        <v>41409</v>
      </c>
      <c r="F781" s="34" t="s">
        <v>269</v>
      </c>
      <c r="G781" s="35" t="s">
        <v>239</v>
      </c>
      <c r="H781" s="35">
        <v>31610230</v>
      </c>
      <c r="I781" s="35">
        <v>582017</v>
      </c>
      <c r="J781" s="2" t="s">
        <v>1</v>
      </c>
      <c r="K781" s="138">
        <v>30979</v>
      </c>
      <c r="L781" s="4">
        <v>0</v>
      </c>
      <c r="M781" s="4">
        <v>0</v>
      </c>
      <c r="N781" s="4">
        <v>10979</v>
      </c>
      <c r="O781" s="4">
        <v>5000</v>
      </c>
      <c r="P781" s="4">
        <v>5000</v>
      </c>
      <c r="Q781" s="4">
        <v>5000</v>
      </c>
      <c r="R781" s="4">
        <v>5000</v>
      </c>
      <c r="S781" s="367" t="s">
        <v>11</v>
      </c>
      <c r="T781" s="283"/>
      <c r="U781" s="283"/>
      <c r="Z781" s="490"/>
      <c r="AA781" s="60"/>
    </row>
    <row r="782" spans="1:46" s="2" customFormat="1" x14ac:dyDescent="0.25">
      <c r="A782" s="26"/>
      <c r="B782" s="26"/>
      <c r="C782" s="306"/>
      <c r="D782" s="33"/>
      <c r="E782" s="34" t="s">
        <v>12</v>
      </c>
      <c r="F782" s="34"/>
      <c r="G782" s="35" t="s">
        <v>385</v>
      </c>
      <c r="H782" s="35"/>
      <c r="I782" s="35"/>
      <c r="J782" s="17" t="s">
        <v>2</v>
      </c>
      <c r="K782" s="28">
        <v>2209.79</v>
      </c>
      <c r="L782" s="11">
        <v>0</v>
      </c>
      <c r="M782" s="11">
        <v>0</v>
      </c>
      <c r="N782" s="11">
        <f>354.9+354.89</f>
        <v>709.79</v>
      </c>
      <c r="O782" s="11">
        <f>300+300</f>
        <v>600</v>
      </c>
      <c r="P782" s="11">
        <f>225+225</f>
        <v>450</v>
      </c>
      <c r="Q782" s="11">
        <f>150+150</f>
        <v>300</v>
      </c>
      <c r="R782" s="11">
        <f>75+75</f>
        <v>150</v>
      </c>
      <c r="S782" s="368" t="s">
        <v>11</v>
      </c>
      <c r="T782" s="142"/>
      <c r="U782" s="142"/>
      <c r="V782" s="17"/>
      <c r="W782" s="17"/>
      <c r="X782" s="17"/>
      <c r="Y782" s="17"/>
      <c r="Z782" s="491"/>
      <c r="AA782" s="532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</row>
    <row r="783" spans="1:46" s="6" customFormat="1" ht="13.8" thickBot="1" x14ac:dyDescent="0.3">
      <c r="A783" s="120"/>
      <c r="B783" s="120"/>
      <c r="C783" s="307"/>
      <c r="D783" s="85"/>
      <c r="E783" s="86" t="s">
        <v>40</v>
      </c>
      <c r="F783" s="86" t="s">
        <v>410</v>
      </c>
      <c r="G783" s="125" t="s">
        <v>533</v>
      </c>
      <c r="H783" s="141"/>
      <c r="I783" s="141"/>
      <c r="J783" s="41" t="s">
        <v>6</v>
      </c>
      <c r="K783" s="42">
        <f>K782+K781</f>
        <v>33188.79</v>
      </c>
      <c r="L783" s="43">
        <f>L782+L781</f>
        <v>0</v>
      </c>
      <c r="M783" s="43">
        <f t="shared" ref="M783:R783" si="594">M782+M781</f>
        <v>0</v>
      </c>
      <c r="N783" s="43">
        <f t="shared" si="594"/>
        <v>11688.79</v>
      </c>
      <c r="O783" s="43">
        <f t="shared" si="594"/>
        <v>5600</v>
      </c>
      <c r="P783" s="43">
        <f t="shared" si="594"/>
        <v>5450</v>
      </c>
      <c r="Q783" s="43">
        <f t="shared" si="594"/>
        <v>5300</v>
      </c>
      <c r="R783" s="43">
        <f t="shared" si="594"/>
        <v>5150</v>
      </c>
      <c r="S783" s="41" t="s">
        <v>11</v>
      </c>
      <c r="T783" s="43"/>
      <c r="U783" s="43"/>
      <c r="V783" s="41"/>
      <c r="W783" s="41"/>
      <c r="X783" s="41"/>
      <c r="Y783" s="41"/>
      <c r="Z783" s="492"/>
      <c r="AA783" s="533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</row>
    <row r="784" spans="1:46" s="2" customFormat="1" x14ac:dyDescent="0.25">
      <c r="A784" s="26"/>
      <c r="B784" s="26" t="s">
        <v>96</v>
      </c>
      <c r="C784" s="306"/>
      <c r="D784" s="33" t="s">
        <v>3</v>
      </c>
      <c r="E784" s="34">
        <v>41409</v>
      </c>
      <c r="F784" s="34" t="s">
        <v>258</v>
      </c>
      <c r="G784" s="35" t="s">
        <v>245</v>
      </c>
      <c r="H784" s="35">
        <v>31300241</v>
      </c>
      <c r="I784" s="35">
        <v>585004</v>
      </c>
      <c r="J784" s="2" t="s">
        <v>1</v>
      </c>
      <c r="K784" s="27">
        <v>16935</v>
      </c>
      <c r="L784" s="4">
        <v>0</v>
      </c>
      <c r="M784" s="4">
        <v>0</v>
      </c>
      <c r="N784" s="4">
        <v>6935</v>
      </c>
      <c r="O784" s="4">
        <v>5000</v>
      </c>
      <c r="P784" s="283">
        <v>5000</v>
      </c>
      <c r="Q784" s="2" t="s">
        <v>11</v>
      </c>
      <c r="R784" s="283"/>
      <c r="S784" s="283"/>
      <c r="T784" s="283"/>
      <c r="U784" s="283"/>
      <c r="Z784" s="490"/>
      <c r="AA784" s="60"/>
    </row>
    <row r="785" spans="1:46" s="2" customFormat="1" x14ac:dyDescent="0.25">
      <c r="A785" s="26"/>
      <c r="B785" s="26"/>
      <c r="C785" s="306"/>
      <c r="D785" s="33"/>
      <c r="E785" s="34" t="s">
        <v>12</v>
      </c>
      <c r="F785" s="34"/>
      <c r="G785" s="35" t="s">
        <v>535</v>
      </c>
      <c r="H785" s="35"/>
      <c r="I785" s="35"/>
      <c r="J785" s="17" t="s">
        <v>2</v>
      </c>
      <c r="K785" s="28">
        <v>819.35</v>
      </c>
      <c r="L785" s="11">
        <v>0</v>
      </c>
      <c r="M785" s="11">
        <v>0</v>
      </c>
      <c r="N785" s="11">
        <f>184.68+184.67</f>
        <v>369.35</v>
      </c>
      <c r="O785" s="11">
        <f>150+150</f>
        <v>300</v>
      </c>
      <c r="P785" s="142">
        <f>75+75</f>
        <v>150</v>
      </c>
      <c r="Q785" s="17" t="s">
        <v>11</v>
      </c>
      <c r="R785" s="142"/>
      <c r="S785" s="142"/>
      <c r="T785" s="142"/>
      <c r="U785" s="142"/>
      <c r="V785" s="17"/>
      <c r="W785" s="17"/>
      <c r="X785" s="17"/>
      <c r="Y785" s="17"/>
      <c r="Z785" s="491"/>
      <c r="AA785" s="532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</row>
    <row r="786" spans="1:46" s="6" customFormat="1" ht="13.8" thickBot="1" x14ac:dyDescent="0.3">
      <c r="A786" s="120"/>
      <c r="B786" s="120"/>
      <c r="C786" s="307"/>
      <c r="D786" s="85"/>
      <c r="E786" s="86" t="s">
        <v>17</v>
      </c>
      <c r="F786" s="86" t="s">
        <v>410</v>
      </c>
      <c r="G786" s="125" t="s">
        <v>536</v>
      </c>
      <c r="H786" s="125"/>
      <c r="I786" s="125"/>
      <c r="J786" s="41" t="s">
        <v>6</v>
      </c>
      <c r="K786" s="42">
        <f>K785+K784</f>
        <v>17754.349999999999</v>
      </c>
      <c r="L786" s="43">
        <f>L785+L784</f>
        <v>0</v>
      </c>
      <c r="M786" s="43">
        <f t="shared" ref="M786:P786" si="595">M785+M784</f>
        <v>0</v>
      </c>
      <c r="N786" s="43">
        <f t="shared" si="595"/>
        <v>7304.35</v>
      </c>
      <c r="O786" s="43">
        <f t="shared" si="595"/>
        <v>5300</v>
      </c>
      <c r="P786" s="43">
        <f t="shared" si="595"/>
        <v>5150</v>
      </c>
      <c r="Q786" s="41" t="s">
        <v>11</v>
      </c>
      <c r="R786" s="43"/>
      <c r="S786" s="43"/>
      <c r="T786" s="43"/>
      <c r="U786" s="43"/>
      <c r="V786" s="41"/>
      <c r="W786" s="41"/>
      <c r="X786" s="41"/>
      <c r="Y786" s="41"/>
      <c r="Z786" s="492"/>
      <c r="AA786" s="533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</row>
    <row r="787" spans="1:46" s="2" customFormat="1" x14ac:dyDescent="0.25">
      <c r="A787" s="26" t="s">
        <v>101</v>
      </c>
      <c r="B787" s="26" t="s">
        <v>96</v>
      </c>
      <c r="C787" s="306"/>
      <c r="D787" s="33" t="s">
        <v>3</v>
      </c>
      <c r="E787" s="34">
        <v>41409</v>
      </c>
      <c r="F787" s="34" t="s">
        <v>269</v>
      </c>
      <c r="G787" s="35" t="s">
        <v>164</v>
      </c>
      <c r="H787" s="35">
        <v>31122241</v>
      </c>
      <c r="I787" s="35">
        <v>584007</v>
      </c>
      <c r="J787" s="2" t="s">
        <v>1</v>
      </c>
      <c r="K787" s="138">
        <v>70400</v>
      </c>
      <c r="L787" s="4">
        <v>0</v>
      </c>
      <c r="M787" s="4">
        <v>0</v>
      </c>
      <c r="N787" s="4">
        <v>10400</v>
      </c>
      <c r="O787" s="4">
        <v>10000</v>
      </c>
      <c r="P787" s="4">
        <v>10000</v>
      </c>
      <c r="Q787" s="4">
        <v>10000</v>
      </c>
      <c r="R787" s="4">
        <v>10000</v>
      </c>
      <c r="S787" s="4">
        <v>10000</v>
      </c>
      <c r="T787" s="4">
        <v>10000</v>
      </c>
      <c r="U787" s="367" t="s">
        <v>11</v>
      </c>
      <c r="Z787" s="490"/>
      <c r="AA787" s="60"/>
    </row>
    <row r="788" spans="1:46" s="2" customFormat="1" x14ac:dyDescent="0.25">
      <c r="A788" s="400" t="s">
        <v>980</v>
      </c>
      <c r="B788" s="26"/>
      <c r="C788" s="306"/>
      <c r="D788" s="33"/>
      <c r="E788" s="34" t="s">
        <v>12</v>
      </c>
      <c r="F788" s="34"/>
      <c r="G788" s="35" t="s">
        <v>618</v>
      </c>
      <c r="H788" s="35"/>
      <c r="I788" s="35"/>
      <c r="J788" s="17" t="s">
        <v>2</v>
      </c>
      <c r="K788" s="28">
        <v>8904</v>
      </c>
      <c r="L788" s="11">
        <v>0</v>
      </c>
      <c r="M788" s="11">
        <v>0</v>
      </c>
      <c r="N788" s="11">
        <f>1002+1002</f>
        <v>2004</v>
      </c>
      <c r="O788" s="11">
        <f>950+950</f>
        <v>1900</v>
      </c>
      <c r="P788" s="11">
        <f>800+800</f>
        <v>1600</v>
      </c>
      <c r="Q788" s="11">
        <f>650+650</f>
        <v>1300</v>
      </c>
      <c r="R788" s="11">
        <f>500+500</f>
        <v>1000</v>
      </c>
      <c r="S788" s="11">
        <f>350+350</f>
        <v>700</v>
      </c>
      <c r="T788" s="11">
        <f>200+200</f>
        <v>400</v>
      </c>
      <c r="U788" s="368" t="s">
        <v>11</v>
      </c>
      <c r="V788" s="17"/>
      <c r="W788" s="17"/>
      <c r="X788" s="17"/>
      <c r="Y788" s="17"/>
      <c r="Z788" s="491"/>
      <c r="AA788" s="532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</row>
    <row r="789" spans="1:46" s="6" customFormat="1" ht="13.8" thickBot="1" x14ac:dyDescent="0.3">
      <c r="A789" s="120"/>
      <c r="B789" s="120"/>
      <c r="C789" s="307"/>
      <c r="D789" s="85"/>
      <c r="E789" s="86" t="s">
        <v>40</v>
      </c>
      <c r="F789" s="86" t="s">
        <v>410</v>
      </c>
      <c r="G789" s="125" t="s">
        <v>616</v>
      </c>
      <c r="H789" s="125"/>
      <c r="I789" s="125"/>
      <c r="J789" s="41" t="s">
        <v>6</v>
      </c>
      <c r="K789" s="42">
        <f>K788+K787</f>
        <v>79304</v>
      </c>
      <c r="L789" s="43">
        <f>L788+L787</f>
        <v>0</v>
      </c>
      <c r="M789" s="43">
        <f t="shared" ref="M789:S789" si="596">M788+M787</f>
        <v>0</v>
      </c>
      <c r="N789" s="43">
        <f t="shared" si="596"/>
        <v>12404</v>
      </c>
      <c r="O789" s="43">
        <f t="shared" si="596"/>
        <v>11900</v>
      </c>
      <c r="P789" s="43">
        <f t="shared" si="596"/>
        <v>11600</v>
      </c>
      <c r="Q789" s="43">
        <f t="shared" si="596"/>
        <v>11300</v>
      </c>
      <c r="R789" s="43">
        <f t="shared" si="596"/>
        <v>11000</v>
      </c>
      <c r="S789" s="43">
        <f t="shared" si="596"/>
        <v>10700</v>
      </c>
      <c r="T789" s="43">
        <f t="shared" ref="T789" si="597">T788+T787</f>
        <v>10400</v>
      </c>
      <c r="U789" s="41" t="s">
        <v>11</v>
      </c>
      <c r="V789" s="41"/>
      <c r="W789" s="41"/>
      <c r="X789" s="41"/>
      <c r="Y789" s="41"/>
      <c r="Z789" s="492"/>
      <c r="AA789" s="533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</row>
    <row r="790" spans="1:46" s="2" customFormat="1" x14ac:dyDescent="0.25">
      <c r="A790" s="26"/>
      <c r="B790" s="26" t="s">
        <v>97</v>
      </c>
      <c r="C790" s="306"/>
      <c r="D790" s="33" t="s">
        <v>3</v>
      </c>
      <c r="E790" s="34">
        <v>41409</v>
      </c>
      <c r="F790" s="34" t="s">
        <v>269</v>
      </c>
      <c r="G790" s="35" t="s">
        <v>154</v>
      </c>
      <c r="H790" s="35">
        <v>31300235</v>
      </c>
      <c r="I790" s="35">
        <v>582006</v>
      </c>
      <c r="J790" s="2" t="s">
        <v>1</v>
      </c>
      <c r="K790" s="27">
        <v>24987</v>
      </c>
      <c r="L790" s="4">
        <v>0</v>
      </c>
      <c r="M790" s="4">
        <v>0</v>
      </c>
      <c r="N790" s="4">
        <v>14987</v>
      </c>
      <c r="O790" s="4">
        <v>10000</v>
      </c>
      <c r="P790" s="2" t="s">
        <v>11</v>
      </c>
      <c r="Z790" s="490"/>
      <c r="AA790" s="60"/>
    </row>
    <row r="791" spans="1:46" s="2" customFormat="1" x14ac:dyDescent="0.25">
      <c r="A791" s="26"/>
      <c r="B791" s="26"/>
      <c r="C791" s="306"/>
      <c r="D791" s="33"/>
      <c r="E791" s="34" t="s">
        <v>13</v>
      </c>
      <c r="F791" s="34"/>
      <c r="G791" s="35" t="s">
        <v>747</v>
      </c>
      <c r="H791" s="35"/>
      <c r="I791" s="35"/>
      <c r="J791" s="17" t="s">
        <v>2</v>
      </c>
      <c r="K791" s="28">
        <v>749.87</v>
      </c>
      <c r="L791" s="11">
        <v>0</v>
      </c>
      <c r="M791" s="11">
        <v>0</v>
      </c>
      <c r="N791" s="11">
        <f>224.94+224.93</f>
        <v>449.87</v>
      </c>
      <c r="O791" s="11">
        <f>150+150</f>
        <v>300</v>
      </c>
      <c r="P791" s="17" t="s">
        <v>11</v>
      </c>
      <c r="Z791" s="490"/>
      <c r="AA791" s="60"/>
    </row>
    <row r="792" spans="1:46" s="6" customFormat="1" ht="13.8" thickBot="1" x14ac:dyDescent="0.3">
      <c r="A792" s="120"/>
      <c r="B792" s="120"/>
      <c r="C792" s="307"/>
      <c r="D792" s="85"/>
      <c r="E792" s="86" t="s">
        <v>161</v>
      </c>
      <c r="F792" s="86" t="s">
        <v>410</v>
      </c>
      <c r="G792" s="125" t="s">
        <v>613</v>
      </c>
      <c r="H792" s="125"/>
      <c r="I792" s="125"/>
      <c r="J792" s="41" t="s">
        <v>6</v>
      </c>
      <c r="K792" s="42">
        <f>K791+K790</f>
        <v>25736.87</v>
      </c>
      <c r="L792" s="43">
        <f>L791+L790</f>
        <v>0</v>
      </c>
      <c r="M792" s="43">
        <f t="shared" ref="M792" si="598">M791+M790</f>
        <v>0</v>
      </c>
      <c r="N792" s="43">
        <f t="shared" ref="N792" si="599">N791+N790</f>
        <v>15436.87</v>
      </c>
      <c r="O792" s="43">
        <f t="shared" ref="O792" si="600">O791+O790</f>
        <v>10300</v>
      </c>
      <c r="P792" s="41" t="s">
        <v>11</v>
      </c>
      <c r="Q792" s="41"/>
      <c r="R792" s="41"/>
      <c r="S792" s="41"/>
      <c r="T792" s="41"/>
      <c r="U792" s="41"/>
      <c r="V792" s="41"/>
      <c r="W792" s="41"/>
      <c r="X792" s="41"/>
      <c r="Y792" s="41"/>
      <c r="Z792" s="492"/>
      <c r="AA792" s="533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</row>
    <row r="793" spans="1:46" s="2" customFormat="1" x14ac:dyDescent="0.25">
      <c r="A793" s="26" t="s">
        <v>99</v>
      </c>
      <c r="B793" s="26" t="s">
        <v>96</v>
      </c>
      <c r="C793" s="306"/>
      <c r="D793" s="33" t="s">
        <v>3</v>
      </c>
      <c r="E793" s="34">
        <v>41409</v>
      </c>
      <c r="F793" s="34" t="s">
        <v>281</v>
      </c>
      <c r="G793" s="35" t="s">
        <v>490</v>
      </c>
      <c r="H793" s="35">
        <v>31171241</v>
      </c>
      <c r="I793" s="35">
        <v>584003</v>
      </c>
      <c r="J793" s="2" t="s">
        <v>1</v>
      </c>
      <c r="K793" s="27">
        <v>422575</v>
      </c>
      <c r="L793" s="4">
        <v>0</v>
      </c>
      <c r="M793" s="4">
        <v>0</v>
      </c>
      <c r="N793" s="4">
        <v>47575</v>
      </c>
      <c r="O793" s="4">
        <v>45000</v>
      </c>
      <c r="P793" s="4">
        <v>45000</v>
      </c>
      <c r="Q793" s="4">
        <v>45000</v>
      </c>
      <c r="R793" s="4">
        <v>40000</v>
      </c>
      <c r="S793" s="4">
        <v>40000</v>
      </c>
      <c r="T793" s="4">
        <v>40000</v>
      </c>
      <c r="U793" s="4">
        <v>40000</v>
      </c>
      <c r="V793" s="4">
        <v>40000</v>
      </c>
      <c r="W793" s="4">
        <v>40000</v>
      </c>
      <c r="X793" s="367" t="s">
        <v>11</v>
      </c>
      <c r="Z793" s="490"/>
      <c r="AA793" s="60"/>
    </row>
    <row r="794" spans="1:46" s="2" customFormat="1" x14ac:dyDescent="0.25">
      <c r="A794" s="400" t="s">
        <v>981</v>
      </c>
      <c r="B794" s="26"/>
      <c r="C794" s="306"/>
      <c r="D794" s="33"/>
      <c r="E794" s="34" t="s">
        <v>12</v>
      </c>
      <c r="F794" s="34"/>
      <c r="G794" s="35" t="s">
        <v>491</v>
      </c>
      <c r="H794" s="35"/>
      <c r="I794" s="35"/>
      <c r="J794" s="17" t="s">
        <v>2</v>
      </c>
      <c r="K794" s="28">
        <v>65025.75</v>
      </c>
      <c r="L794" s="11">
        <v>0</v>
      </c>
      <c r="M794" s="11">
        <v>0</v>
      </c>
      <c r="N794" s="11">
        <f>5862.88+5862.87</f>
        <v>11725.75</v>
      </c>
      <c r="O794" s="11">
        <f>5625+5625</f>
        <v>11250</v>
      </c>
      <c r="P794" s="11">
        <f>4950+4950</f>
        <v>9900</v>
      </c>
      <c r="Q794" s="11">
        <f>4275+4275</f>
        <v>8550</v>
      </c>
      <c r="R794" s="11">
        <f>3600+3600</f>
        <v>7200</v>
      </c>
      <c r="S794" s="11">
        <f>3000+3000</f>
        <v>6000</v>
      </c>
      <c r="T794" s="11">
        <f>2400+2400</f>
        <v>4800</v>
      </c>
      <c r="U794" s="11">
        <f>1600+1600</f>
        <v>3200</v>
      </c>
      <c r="V794" s="11">
        <f>800+800</f>
        <v>1600</v>
      </c>
      <c r="W794" s="11">
        <f>400+400</f>
        <v>800</v>
      </c>
      <c r="X794" s="368" t="s">
        <v>11</v>
      </c>
      <c r="Y794" s="17"/>
      <c r="Z794" s="491"/>
      <c r="AA794" s="532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</row>
    <row r="795" spans="1:46" s="6" customFormat="1" ht="13.8" thickBot="1" x14ac:dyDescent="0.3">
      <c r="A795" s="409" t="s">
        <v>1117</v>
      </c>
      <c r="B795" s="120"/>
      <c r="C795" s="307"/>
      <c r="D795" s="85"/>
      <c r="E795" s="86" t="s">
        <v>15</v>
      </c>
      <c r="F795" s="86" t="s">
        <v>412</v>
      </c>
      <c r="G795" s="125"/>
      <c r="H795" s="125"/>
      <c r="I795" s="125"/>
      <c r="J795" s="41" t="s">
        <v>6</v>
      </c>
      <c r="K795" s="42">
        <f>K794+K793</f>
        <v>487600.75</v>
      </c>
      <c r="L795" s="43">
        <f>L794+L793</f>
        <v>0</v>
      </c>
      <c r="M795" s="43">
        <f t="shared" ref="M795:V795" si="601">M794+M793</f>
        <v>0</v>
      </c>
      <c r="N795" s="43">
        <f t="shared" si="601"/>
        <v>59300.75</v>
      </c>
      <c r="O795" s="43">
        <f t="shared" si="601"/>
        <v>56250</v>
      </c>
      <c r="P795" s="43">
        <f t="shared" si="601"/>
        <v>54900</v>
      </c>
      <c r="Q795" s="43">
        <f t="shared" si="601"/>
        <v>53550</v>
      </c>
      <c r="R795" s="43">
        <f t="shared" si="601"/>
        <v>47200</v>
      </c>
      <c r="S795" s="43">
        <f t="shared" si="601"/>
        <v>46000</v>
      </c>
      <c r="T795" s="43">
        <f t="shared" si="601"/>
        <v>44800</v>
      </c>
      <c r="U795" s="43">
        <f t="shared" si="601"/>
        <v>43200</v>
      </c>
      <c r="V795" s="43">
        <f t="shared" si="601"/>
        <v>41600</v>
      </c>
      <c r="W795" s="43">
        <f t="shared" ref="W795" si="602">W794+W793</f>
        <v>40800</v>
      </c>
      <c r="X795" s="41" t="s">
        <v>11</v>
      </c>
      <c r="Y795" s="41"/>
      <c r="Z795" s="492"/>
      <c r="AA795" s="533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</row>
    <row r="796" spans="1:46" s="2" customFormat="1" x14ac:dyDescent="0.25">
      <c r="A796" s="26" t="s">
        <v>101</v>
      </c>
      <c r="B796" s="26" t="s">
        <v>96</v>
      </c>
      <c r="C796" s="306"/>
      <c r="D796" s="33" t="s">
        <v>3</v>
      </c>
      <c r="E796" s="34">
        <v>41409</v>
      </c>
      <c r="F796" s="34" t="s">
        <v>269</v>
      </c>
      <c r="G796" s="320" t="s">
        <v>243</v>
      </c>
      <c r="H796" s="320">
        <v>31292230</v>
      </c>
      <c r="I796" s="320">
        <v>584002</v>
      </c>
      <c r="J796" s="2" t="s">
        <v>1</v>
      </c>
      <c r="K796" s="27">
        <v>400000</v>
      </c>
      <c r="L796" s="4">
        <v>0</v>
      </c>
      <c r="M796" s="4">
        <v>0</v>
      </c>
      <c r="N796" s="4">
        <v>30000</v>
      </c>
      <c r="O796" s="4">
        <v>30000</v>
      </c>
      <c r="P796" s="283">
        <v>30000</v>
      </c>
      <c r="Q796" s="283">
        <v>30000</v>
      </c>
      <c r="R796" s="283">
        <v>30000</v>
      </c>
      <c r="S796" s="283">
        <v>25000</v>
      </c>
      <c r="T796" s="283">
        <v>25000</v>
      </c>
      <c r="U796" s="283">
        <v>25000</v>
      </c>
      <c r="V796" s="283">
        <v>25000</v>
      </c>
      <c r="W796" s="283">
        <v>25000</v>
      </c>
      <c r="X796" s="283">
        <v>25000</v>
      </c>
      <c r="Y796" s="283">
        <v>25000</v>
      </c>
      <c r="Z796" s="497">
        <v>25000</v>
      </c>
      <c r="AA796" s="536">
        <v>25000</v>
      </c>
      <c r="AB796" s="5">
        <v>25000</v>
      </c>
      <c r="AC796" s="2" t="s">
        <v>11</v>
      </c>
    </row>
    <row r="797" spans="1:46" s="2" customFormat="1" x14ac:dyDescent="0.25">
      <c r="A797" s="400" t="s">
        <v>982</v>
      </c>
      <c r="B797" s="26"/>
      <c r="C797" s="306"/>
      <c r="D797" s="33"/>
      <c r="E797" s="34" t="s">
        <v>12</v>
      </c>
      <c r="F797" s="34"/>
      <c r="G797" s="35" t="s">
        <v>244</v>
      </c>
      <c r="H797" s="35"/>
      <c r="I797" s="35"/>
      <c r="J797" s="17" t="s">
        <v>2</v>
      </c>
      <c r="K797" s="28">
        <v>77550</v>
      </c>
      <c r="L797" s="11">
        <v>0</v>
      </c>
      <c r="M797" s="11">
        <v>0</v>
      </c>
      <c r="N797" s="11">
        <f>5187.5+5187.5</f>
        <v>10375</v>
      </c>
      <c r="O797" s="11">
        <f>5037.5+5037.5</f>
        <v>10075</v>
      </c>
      <c r="P797" s="142">
        <f>4587.5+4587.5</f>
        <v>9175</v>
      </c>
      <c r="Q797" s="142">
        <f>4137.5+4137.5</f>
        <v>8275</v>
      </c>
      <c r="R797" s="142">
        <f>3687.5+3687.5</f>
        <v>7375</v>
      </c>
      <c r="S797" s="142">
        <f>3237.5+3237.5</f>
        <v>6475</v>
      </c>
      <c r="T797" s="142">
        <f>2862.5+2862.5</f>
        <v>5725</v>
      </c>
      <c r="U797" s="142">
        <f>2362.5+2362.5</f>
        <v>4725</v>
      </c>
      <c r="V797" s="142">
        <f>1862.5+1862.5</f>
        <v>3725</v>
      </c>
      <c r="W797" s="142">
        <f>1612.5+1612.5</f>
        <v>3225</v>
      </c>
      <c r="X797" s="142">
        <f>1362.5+1362.5</f>
        <v>2725</v>
      </c>
      <c r="Y797" s="142">
        <f>1112.5+1112.5</f>
        <v>2225</v>
      </c>
      <c r="Z797" s="500">
        <f>862.5+862.5</f>
        <v>1725</v>
      </c>
      <c r="AA797" s="539">
        <f>575+575</f>
        <v>1150</v>
      </c>
      <c r="AB797" s="21">
        <f>287.5+287.5</f>
        <v>575</v>
      </c>
      <c r="AC797" s="17" t="s">
        <v>11</v>
      </c>
    </row>
    <row r="798" spans="1:46" s="6" customFormat="1" ht="13.8" thickBot="1" x14ac:dyDescent="0.3">
      <c r="A798" s="409" t="s">
        <v>1121</v>
      </c>
      <c r="B798" s="120"/>
      <c r="C798" s="307"/>
      <c r="D798" s="85"/>
      <c r="E798" s="86" t="s">
        <v>40</v>
      </c>
      <c r="F798" s="86" t="s">
        <v>412</v>
      </c>
      <c r="G798" s="125"/>
      <c r="H798" s="125"/>
      <c r="I798" s="125"/>
      <c r="J798" s="41" t="s">
        <v>6</v>
      </c>
      <c r="K798" s="42">
        <f>K797+K796</f>
        <v>477550</v>
      </c>
      <c r="L798" s="43">
        <f>L797+L796</f>
        <v>0</v>
      </c>
      <c r="M798" s="43">
        <f t="shared" ref="M798" si="603">M797+M796</f>
        <v>0</v>
      </c>
      <c r="N798" s="43">
        <f t="shared" ref="N798" si="604">N797+N796</f>
        <v>40375</v>
      </c>
      <c r="O798" s="43">
        <f t="shared" ref="O798" si="605">O797+O796</f>
        <v>40075</v>
      </c>
      <c r="P798" s="43">
        <f t="shared" ref="P798" si="606">P797+P796</f>
        <v>39175</v>
      </c>
      <c r="Q798" s="43">
        <f t="shared" ref="Q798" si="607">Q797+Q796</f>
        <v>38275</v>
      </c>
      <c r="R798" s="43">
        <f t="shared" ref="R798" si="608">R797+R796</f>
        <v>37375</v>
      </c>
      <c r="S798" s="43">
        <f t="shared" ref="S798" si="609">S797+S796</f>
        <v>31475</v>
      </c>
      <c r="T798" s="43">
        <f t="shared" ref="T798" si="610">T797+T796</f>
        <v>30725</v>
      </c>
      <c r="U798" s="43">
        <f t="shared" ref="U798" si="611">U797+U796</f>
        <v>29725</v>
      </c>
      <c r="V798" s="43">
        <f t="shared" ref="V798" si="612">V797+V796</f>
        <v>28725</v>
      </c>
      <c r="W798" s="43">
        <f t="shared" ref="W798" si="613">W797+W796</f>
        <v>28225</v>
      </c>
      <c r="X798" s="43">
        <f t="shared" ref="X798" si="614">X797+X796</f>
        <v>27725</v>
      </c>
      <c r="Y798" s="43">
        <f t="shared" ref="Y798" si="615">Y797+Y796</f>
        <v>27225</v>
      </c>
      <c r="Z798" s="499">
        <f t="shared" ref="Z798" si="616">Z797+Z796</f>
        <v>26725</v>
      </c>
      <c r="AA798" s="538">
        <f t="shared" ref="AA798" si="617">AA797+AA796</f>
        <v>26150</v>
      </c>
      <c r="AB798" s="43">
        <f t="shared" ref="AB798" si="618">AB797+AB796</f>
        <v>25575</v>
      </c>
      <c r="AC798" s="41" t="s">
        <v>11</v>
      </c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</row>
    <row r="799" spans="1:46" s="2" customFormat="1" x14ac:dyDescent="0.25">
      <c r="A799" s="26" t="s">
        <v>95</v>
      </c>
      <c r="B799" s="26" t="s">
        <v>96</v>
      </c>
      <c r="C799" s="306"/>
      <c r="D799" s="33" t="s">
        <v>3</v>
      </c>
      <c r="E799" s="34">
        <v>41409</v>
      </c>
      <c r="F799" s="34" t="s">
        <v>346</v>
      </c>
      <c r="G799" s="35" t="s">
        <v>120</v>
      </c>
      <c r="H799" s="35">
        <v>31300230</v>
      </c>
      <c r="I799" s="35">
        <v>584016</v>
      </c>
      <c r="J799" s="2" t="s">
        <v>1</v>
      </c>
      <c r="K799" s="27">
        <v>127319</v>
      </c>
      <c r="L799" s="4">
        <v>0</v>
      </c>
      <c r="M799" s="4">
        <v>0</v>
      </c>
      <c r="N799" s="4">
        <v>22319</v>
      </c>
      <c r="O799" s="4">
        <v>15000</v>
      </c>
      <c r="P799" s="283">
        <v>15000</v>
      </c>
      <c r="Q799" s="283">
        <v>15000</v>
      </c>
      <c r="R799" s="283">
        <v>15000</v>
      </c>
      <c r="S799" s="283">
        <v>15000</v>
      </c>
      <c r="T799" s="283">
        <v>15000</v>
      </c>
      <c r="U799" s="283">
        <v>15000</v>
      </c>
      <c r="V799" s="367" t="s">
        <v>11</v>
      </c>
      <c r="Z799" s="490"/>
      <c r="AA799" s="60"/>
    </row>
    <row r="800" spans="1:46" s="2" customFormat="1" x14ac:dyDescent="0.25">
      <c r="A800" s="400" t="s">
        <v>983</v>
      </c>
      <c r="B800" s="26"/>
      <c r="C800" s="306"/>
      <c r="D800" s="33"/>
      <c r="E800" s="34" t="s">
        <v>12</v>
      </c>
      <c r="F800" s="34"/>
      <c r="G800" s="35" t="s">
        <v>238</v>
      </c>
      <c r="H800" s="35"/>
      <c r="I800" s="35"/>
      <c r="J800" s="17" t="s">
        <v>2</v>
      </c>
      <c r="K800" s="28">
        <v>18223.189999999999</v>
      </c>
      <c r="L800" s="11">
        <v>0</v>
      </c>
      <c r="M800" s="11">
        <v>0</v>
      </c>
      <c r="N800" s="11">
        <f>1836.6+1836.59</f>
        <v>3673.1899999999996</v>
      </c>
      <c r="O800" s="11">
        <f>1725+1725</f>
        <v>3450</v>
      </c>
      <c r="P800" s="142">
        <f>1500+1500</f>
        <v>3000</v>
      </c>
      <c r="Q800" s="142">
        <f>1275+1275</f>
        <v>2550</v>
      </c>
      <c r="R800" s="142">
        <f>1050+1050</f>
        <v>2100</v>
      </c>
      <c r="S800" s="142">
        <f>825+825</f>
        <v>1650</v>
      </c>
      <c r="T800" s="142">
        <f>600+600</f>
        <v>1200</v>
      </c>
      <c r="U800" s="142">
        <f>300+300</f>
        <v>600</v>
      </c>
      <c r="V800" s="368" t="s">
        <v>11</v>
      </c>
      <c r="W800" s="17"/>
      <c r="X800" s="17"/>
      <c r="Y800" s="17"/>
      <c r="Z800" s="491"/>
      <c r="AA800" s="532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</row>
    <row r="801" spans="1:46" s="6" customFormat="1" ht="13.8" thickBot="1" x14ac:dyDescent="0.3">
      <c r="A801" s="120"/>
      <c r="B801" s="120"/>
      <c r="C801" s="307"/>
      <c r="D801" s="85"/>
      <c r="E801" s="86" t="s">
        <v>161</v>
      </c>
      <c r="F801" s="86" t="s">
        <v>410</v>
      </c>
      <c r="G801" s="141"/>
      <c r="H801" s="141"/>
      <c r="I801" s="141"/>
      <c r="J801" s="41" t="s">
        <v>6</v>
      </c>
      <c r="K801" s="42">
        <f>K800+K799</f>
        <v>145542.19</v>
      </c>
      <c r="L801" s="43">
        <f>L800+L799</f>
        <v>0</v>
      </c>
      <c r="M801" s="43">
        <f t="shared" ref="M801:P801" si="619">M800+M799</f>
        <v>0</v>
      </c>
      <c r="N801" s="43">
        <f t="shared" si="619"/>
        <v>25992.19</v>
      </c>
      <c r="O801" s="43">
        <f t="shared" si="619"/>
        <v>18450</v>
      </c>
      <c r="P801" s="43">
        <f t="shared" si="619"/>
        <v>18000</v>
      </c>
      <c r="Q801" s="43">
        <f t="shared" ref="Q801:U801" si="620">Q800+Q799</f>
        <v>17550</v>
      </c>
      <c r="R801" s="43">
        <f t="shared" si="620"/>
        <v>17100</v>
      </c>
      <c r="S801" s="43">
        <f t="shared" si="620"/>
        <v>16650</v>
      </c>
      <c r="T801" s="43">
        <f t="shared" si="620"/>
        <v>16200</v>
      </c>
      <c r="U801" s="43">
        <f t="shared" si="620"/>
        <v>15600</v>
      </c>
      <c r="V801" s="41" t="s">
        <v>11</v>
      </c>
      <c r="W801" s="41"/>
      <c r="X801" s="41"/>
      <c r="Y801" s="41"/>
      <c r="Z801" s="492"/>
      <c r="AA801" s="533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</row>
    <row r="802" spans="1:46" s="2" customFormat="1" x14ac:dyDescent="0.25">
      <c r="A802" s="26" t="s">
        <v>95</v>
      </c>
      <c r="B802" s="26" t="s">
        <v>96</v>
      </c>
      <c r="C802" s="306"/>
      <c r="D802" s="33" t="s">
        <v>3</v>
      </c>
      <c r="E802" s="34">
        <v>41409</v>
      </c>
      <c r="F802" s="34" t="s">
        <v>269</v>
      </c>
      <c r="G802" s="318" t="s">
        <v>241</v>
      </c>
      <c r="H802" s="318">
        <v>31300230</v>
      </c>
      <c r="I802" s="318">
        <v>584002</v>
      </c>
      <c r="J802" s="2" t="s">
        <v>1</v>
      </c>
      <c r="K802" s="27">
        <v>215000</v>
      </c>
      <c r="L802" s="4">
        <v>0</v>
      </c>
      <c r="M802" s="4">
        <v>0</v>
      </c>
      <c r="N802" s="4">
        <v>20000</v>
      </c>
      <c r="O802" s="4">
        <v>20000</v>
      </c>
      <c r="P802" s="283">
        <v>20000</v>
      </c>
      <c r="Q802" s="283">
        <v>20000</v>
      </c>
      <c r="R802" s="283">
        <v>20000</v>
      </c>
      <c r="S802" s="283">
        <v>20000</v>
      </c>
      <c r="T802" s="283">
        <v>20000</v>
      </c>
      <c r="U802" s="283">
        <v>20000</v>
      </c>
      <c r="V802" s="283">
        <v>20000</v>
      </c>
      <c r="W802" s="283">
        <v>20000</v>
      </c>
      <c r="X802" s="283">
        <v>15000</v>
      </c>
      <c r="Y802" s="367" t="s">
        <v>11</v>
      </c>
      <c r="Z802" s="490"/>
      <c r="AA802" s="60"/>
    </row>
    <row r="803" spans="1:46" s="2" customFormat="1" x14ac:dyDescent="0.25">
      <c r="A803" s="400" t="s">
        <v>984</v>
      </c>
      <c r="B803" s="26"/>
      <c r="C803" s="306"/>
      <c r="D803" s="33"/>
      <c r="E803" s="34" t="s">
        <v>12</v>
      </c>
      <c r="F803" s="34"/>
      <c r="G803" s="35" t="s">
        <v>242</v>
      </c>
      <c r="H803" s="35"/>
      <c r="I803" s="35"/>
      <c r="J803" s="17" t="s">
        <v>2</v>
      </c>
      <c r="K803" s="28">
        <v>35100</v>
      </c>
      <c r="L803" s="11">
        <v>0</v>
      </c>
      <c r="M803" s="11">
        <v>0</v>
      </c>
      <c r="N803" s="11">
        <f>2950+2950</f>
        <v>5900</v>
      </c>
      <c r="O803" s="11">
        <f>2850+2850</f>
        <v>5700</v>
      </c>
      <c r="P803" s="142">
        <f>2550+2550</f>
        <v>5100</v>
      </c>
      <c r="Q803" s="142">
        <f>2250+2250</f>
        <v>4500</v>
      </c>
      <c r="R803" s="142">
        <f>1950+1950</f>
        <v>3900</v>
      </c>
      <c r="S803" s="142">
        <f>1650+1650</f>
        <v>3300</v>
      </c>
      <c r="T803" s="142">
        <f>1350+1350</f>
        <v>2700</v>
      </c>
      <c r="U803" s="142">
        <f>950+950</f>
        <v>1900</v>
      </c>
      <c r="V803" s="142">
        <f>550+550</f>
        <v>1100</v>
      </c>
      <c r="W803" s="142">
        <f>350+350</f>
        <v>700</v>
      </c>
      <c r="X803" s="142">
        <f>150+150</f>
        <v>300</v>
      </c>
      <c r="Y803" s="368" t="s">
        <v>11</v>
      </c>
      <c r="Z803" s="491"/>
      <c r="AA803" s="532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</row>
    <row r="804" spans="1:46" s="6" customFormat="1" ht="13.8" thickBot="1" x14ac:dyDescent="0.3">
      <c r="A804" s="409" t="s">
        <v>1117</v>
      </c>
      <c r="B804" s="120"/>
      <c r="C804" s="307"/>
      <c r="D804" s="85"/>
      <c r="E804" s="86" t="s">
        <v>161</v>
      </c>
      <c r="F804" s="86" t="s">
        <v>408</v>
      </c>
      <c r="G804" s="141"/>
      <c r="H804" s="141"/>
      <c r="I804" s="141"/>
      <c r="J804" s="41" t="s">
        <v>6</v>
      </c>
      <c r="K804" s="42">
        <f>K803+K802</f>
        <v>250100</v>
      </c>
      <c r="L804" s="43">
        <f>L803+L802</f>
        <v>0</v>
      </c>
      <c r="M804" s="43">
        <f t="shared" ref="M804:W804" si="621">M803+M802</f>
        <v>0</v>
      </c>
      <c r="N804" s="43">
        <f t="shared" si="621"/>
        <v>25900</v>
      </c>
      <c r="O804" s="43">
        <f t="shared" si="621"/>
        <v>25700</v>
      </c>
      <c r="P804" s="43">
        <f t="shared" si="621"/>
        <v>25100</v>
      </c>
      <c r="Q804" s="43">
        <f t="shared" si="621"/>
        <v>24500</v>
      </c>
      <c r="R804" s="43">
        <f t="shared" si="621"/>
        <v>23900</v>
      </c>
      <c r="S804" s="43">
        <f t="shared" si="621"/>
        <v>23300</v>
      </c>
      <c r="T804" s="43">
        <f t="shared" si="621"/>
        <v>22700</v>
      </c>
      <c r="U804" s="43">
        <f t="shared" si="621"/>
        <v>21900</v>
      </c>
      <c r="V804" s="43">
        <f t="shared" si="621"/>
        <v>21100</v>
      </c>
      <c r="W804" s="43">
        <f t="shared" si="621"/>
        <v>20700</v>
      </c>
      <c r="X804" s="43">
        <f t="shared" ref="X804" si="622">X803+X802</f>
        <v>15300</v>
      </c>
      <c r="Y804" s="41" t="s">
        <v>11</v>
      </c>
      <c r="Z804" s="492"/>
      <c r="AA804" s="533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</row>
    <row r="805" spans="1:46" s="2" customFormat="1" x14ac:dyDescent="0.25">
      <c r="A805" s="26" t="s">
        <v>99</v>
      </c>
      <c r="B805" s="26" t="s">
        <v>96</v>
      </c>
      <c r="C805" s="306"/>
      <c r="D805" s="33" t="s">
        <v>3</v>
      </c>
      <c r="E805" s="34">
        <v>41409</v>
      </c>
      <c r="F805" s="34" t="s">
        <v>266</v>
      </c>
      <c r="G805" s="35" t="s">
        <v>393</v>
      </c>
      <c r="H805" s="35">
        <v>31422230</v>
      </c>
      <c r="I805" s="35">
        <v>584017</v>
      </c>
      <c r="J805" s="2" t="s">
        <v>1</v>
      </c>
      <c r="K805" s="27">
        <v>50000</v>
      </c>
      <c r="L805" s="4">
        <v>0</v>
      </c>
      <c r="M805" s="4">
        <v>0</v>
      </c>
      <c r="N805" s="4">
        <v>10000</v>
      </c>
      <c r="O805" s="4">
        <v>10000</v>
      </c>
      <c r="P805" s="4">
        <v>10000</v>
      </c>
      <c r="Q805" s="4">
        <v>10000</v>
      </c>
      <c r="R805" s="4">
        <v>10000</v>
      </c>
      <c r="S805" s="2" t="s">
        <v>11</v>
      </c>
      <c r="T805" s="4"/>
      <c r="U805" s="4"/>
      <c r="V805" s="4"/>
      <c r="W805" s="4"/>
      <c r="X805" s="4"/>
      <c r="Y805" s="4"/>
      <c r="Z805" s="504"/>
      <c r="AA805" s="543"/>
      <c r="AB805" s="4"/>
    </row>
    <row r="806" spans="1:46" s="2" customFormat="1" x14ac:dyDescent="0.25">
      <c r="A806" s="26"/>
      <c r="B806" s="26"/>
      <c r="C806" s="306"/>
      <c r="D806" s="33"/>
      <c r="E806" s="34" t="s">
        <v>12</v>
      </c>
      <c r="F806" s="34"/>
      <c r="G806" s="35" t="s">
        <v>492</v>
      </c>
      <c r="H806" s="35"/>
      <c r="I806" s="35"/>
      <c r="J806" s="17" t="s">
        <v>2</v>
      </c>
      <c r="K806" s="28">
        <v>4300</v>
      </c>
      <c r="L806" s="11">
        <v>0</v>
      </c>
      <c r="M806" s="11">
        <v>0</v>
      </c>
      <c r="N806" s="11">
        <f>650+650</f>
        <v>1300</v>
      </c>
      <c r="O806" s="11">
        <f>600+600</f>
        <v>1200</v>
      </c>
      <c r="P806" s="11">
        <f>450+450</f>
        <v>900</v>
      </c>
      <c r="Q806" s="11">
        <f>300+300</f>
        <v>600</v>
      </c>
      <c r="R806" s="11">
        <f>150+150</f>
        <v>300</v>
      </c>
      <c r="S806" s="17" t="s">
        <v>11</v>
      </c>
      <c r="T806" s="11"/>
      <c r="U806" s="11"/>
      <c r="V806" s="11"/>
      <c r="W806" s="11"/>
      <c r="X806" s="11"/>
      <c r="Y806" s="11"/>
      <c r="Z806" s="505"/>
      <c r="AA806" s="544"/>
      <c r="AB806" s="11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</row>
    <row r="807" spans="1:46" s="6" customFormat="1" ht="13.8" thickBot="1" x14ac:dyDescent="0.3">
      <c r="A807" s="120"/>
      <c r="B807" s="120"/>
      <c r="C807" s="307"/>
      <c r="D807" s="85"/>
      <c r="E807" s="86" t="s">
        <v>15</v>
      </c>
      <c r="F807" s="86" t="s">
        <v>410</v>
      </c>
      <c r="G807" s="125"/>
      <c r="H807" s="125"/>
      <c r="I807" s="125"/>
      <c r="J807" s="41" t="s">
        <v>6</v>
      </c>
      <c r="K807" s="42">
        <f>K806+K805</f>
        <v>54300</v>
      </c>
      <c r="L807" s="43">
        <f>L806+L805</f>
        <v>0</v>
      </c>
      <c r="M807" s="43">
        <f t="shared" ref="M807:Q807" si="623">M806+M805</f>
        <v>0</v>
      </c>
      <c r="N807" s="43">
        <f t="shared" si="623"/>
        <v>11300</v>
      </c>
      <c r="O807" s="43">
        <f t="shared" si="623"/>
        <v>11200</v>
      </c>
      <c r="P807" s="43">
        <f t="shared" si="623"/>
        <v>10900</v>
      </c>
      <c r="Q807" s="43">
        <f t="shared" si="623"/>
        <v>10600</v>
      </c>
      <c r="R807" s="43">
        <f t="shared" ref="R807" si="624">R806+R805</f>
        <v>10300</v>
      </c>
      <c r="S807" s="41" t="s">
        <v>11</v>
      </c>
      <c r="T807" s="43"/>
      <c r="U807" s="43"/>
      <c r="V807" s="43"/>
      <c r="W807" s="43"/>
      <c r="X807" s="43"/>
      <c r="Y807" s="43"/>
      <c r="Z807" s="499"/>
      <c r="AA807" s="538"/>
      <c r="AB807" s="43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</row>
    <row r="808" spans="1:46" s="2" customFormat="1" x14ac:dyDescent="0.25">
      <c r="A808" s="26"/>
      <c r="B808" s="26" t="s">
        <v>96</v>
      </c>
      <c r="C808" s="306"/>
      <c r="D808" s="33" t="s">
        <v>3</v>
      </c>
      <c r="E808" s="34">
        <v>41409</v>
      </c>
      <c r="F808" s="34" t="s">
        <v>258</v>
      </c>
      <c r="G808" s="35" t="s">
        <v>493</v>
      </c>
      <c r="H808" s="35">
        <v>31300248</v>
      </c>
      <c r="I808" s="35">
        <v>585011</v>
      </c>
      <c r="J808" s="2" t="s">
        <v>1</v>
      </c>
      <c r="K808" s="27">
        <v>20000</v>
      </c>
      <c r="L808" s="4">
        <v>0</v>
      </c>
      <c r="M808" s="4">
        <v>0</v>
      </c>
      <c r="N808" s="4">
        <v>10000</v>
      </c>
      <c r="O808" s="4">
        <v>10000</v>
      </c>
      <c r="P808" s="2" t="s">
        <v>11</v>
      </c>
      <c r="Z808" s="490"/>
      <c r="AA808" s="60"/>
    </row>
    <row r="809" spans="1:46" s="2" customFormat="1" x14ac:dyDescent="0.25">
      <c r="A809" s="26"/>
      <c r="B809" s="26"/>
      <c r="C809" s="306"/>
      <c r="D809" s="33"/>
      <c r="E809" s="34" t="s">
        <v>12</v>
      </c>
      <c r="F809" s="34"/>
      <c r="G809" s="35" t="s">
        <v>494</v>
      </c>
      <c r="H809" s="35"/>
      <c r="I809" s="35"/>
      <c r="J809" s="17" t="s">
        <v>2</v>
      </c>
      <c r="K809" s="28">
        <v>700</v>
      </c>
      <c r="L809" s="11">
        <v>0</v>
      </c>
      <c r="M809" s="11">
        <v>0</v>
      </c>
      <c r="N809" s="11">
        <f>200+200</f>
        <v>400</v>
      </c>
      <c r="O809" s="11">
        <f>150+150</f>
        <v>300</v>
      </c>
      <c r="P809" s="17" t="s">
        <v>11</v>
      </c>
      <c r="Z809" s="490"/>
      <c r="AA809" s="60"/>
    </row>
    <row r="810" spans="1:46" s="6" customFormat="1" ht="13.8" thickBot="1" x14ac:dyDescent="0.3">
      <c r="A810" s="120"/>
      <c r="B810" s="120"/>
      <c r="C810" s="307"/>
      <c r="D810" s="85"/>
      <c r="E810" s="86" t="s">
        <v>17</v>
      </c>
      <c r="F810" s="86" t="s">
        <v>410</v>
      </c>
      <c r="G810" s="125" t="s">
        <v>495</v>
      </c>
      <c r="H810" s="125"/>
      <c r="I810" s="125"/>
      <c r="J810" s="41" t="s">
        <v>6</v>
      </c>
      <c r="K810" s="42">
        <f>K809+K808</f>
        <v>20700</v>
      </c>
      <c r="L810" s="43">
        <f>L809+L808</f>
        <v>0</v>
      </c>
      <c r="M810" s="43">
        <f t="shared" ref="M810" si="625">M809+M808</f>
        <v>0</v>
      </c>
      <c r="N810" s="43">
        <f t="shared" ref="N810" si="626">N809+N808</f>
        <v>10400</v>
      </c>
      <c r="O810" s="43">
        <f t="shared" ref="O810" si="627">O809+O808</f>
        <v>10300</v>
      </c>
      <c r="P810" s="41" t="s">
        <v>11</v>
      </c>
      <c r="Q810" s="41"/>
      <c r="R810" s="41"/>
      <c r="S810" s="41"/>
      <c r="T810" s="41"/>
      <c r="U810" s="41"/>
      <c r="V810" s="41"/>
      <c r="W810" s="41"/>
      <c r="X810" s="41"/>
      <c r="Y810" s="41"/>
      <c r="Z810" s="492"/>
      <c r="AA810" s="533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</row>
    <row r="811" spans="1:46" s="2" customFormat="1" x14ac:dyDescent="0.25">
      <c r="A811" s="26" t="s">
        <v>98</v>
      </c>
      <c r="B811" s="26" t="s">
        <v>96</v>
      </c>
      <c r="C811" s="306"/>
      <c r="D811" s="33" t="s">
        <v>3</v>
      </c>
      <c r="E811" s="34">
        <v>41409</v>
      </c>
      <c r="F811" s="34" t="s">
        <v>258</v>
      </c>
      <c r="G811" s="35" t="s">
        <v>496</v>
      </c>
      <c r="H811" s="35">
        <v>31300248</v>
      </c>
      <c r="I811" s="35">
        <v>582008</v>
      </c>
      <c r="J811" s="2" t="s">
        <v>1</v>
      </c>
      <c r="K811" s="27">
        <v>50000</v>
      </c>
      <c r="L811" s="4">
        <v>0</v>
      </c>
      <c r="M811" s="4">
        <v>0</v>
      </c>
      <c r="N811" s="4">
        <v>10000</v>
      </c>
      <c r="O811" s="4">
        <v>10000</v>
      </c>
      <c r="P811" s="283">
        <v>10000</v>
      </c>
      <c r="Q811" s="283">
        <v>10000</v>
      </c>
      <c r="R811" s="283">
        <v>10000</v>
      </c>
      <c r="S811" s="2" t="s">
        <v>11</v>
      </c>
      <c r="T811" s="283"/>
      <c r="U811" s="283"/>
      <c r="Z811" s="490"/>
      <c r="AA811" s="60"/>
    </row>
    <row r="812" spans="1:46" s="2" customFormat="1" x14ac:dyDescent="0.25">
      <c r="A812" s="26"/>
      <c r="B812" s="26"/>
      <c r="C812" s="306"/>
      <c r="D812" s="33"/>
      <c r="E812" s="34" t="s">
        <v>12</v>
      </c>
      <c r="F812" s="34"/>
      <c r="G812" s="35" t="s">
        <v>497</v>
      </c>
      <c r="H812" s="35"/>
      <c r="I812" s="35"/>
      <c r="J812" s="17" t="s">
        <v>2</v>
      </c>
      <c r="K812" s="28">
        <v>4300</v>
      </c>
      <c r="L812" s="11">
        <v>0</v>
      </c>
      <c r="M812" s="11">
        <v>0</v>
      </c>
      <c r="N812" s="11">
        <f>650+650</f>
        <v>1300</v>
      </c>
      <c r="O812" s="11">
        <f>600+600</f>
        <v>1200</v>
      </c>
      <c r="P812" s="142">
        <f>450+450</f>
        <v>900</v>
      </c>
      <c r="Q812" s="142">
        <f>300+300</f>
        <v>600</v>
      </c>
      <c r="R812" s="142">
        <f>150+150</f>
        <v>300</v>
      </c>
      <c r="S812" s="17" t="s">
        <v>11</v>
      </c>
      <c r="T812" s="142"/>
      <c r="U812" s="142"/>
      <c r="V812" s="17"/>
      <c r="W812" s="17"/>
      <c r="X812" s="17"/>
      <c r="Y812" s="17"/>
      <c r="Z812" s="491"/>
      <c r="AA812" s="532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</row>
    <row r="813" spans="1:46" s="6" customFormat="1" ht="13.8" thickBot="1" x14ac:dyDescent="0.3">
      <c r="A813" s="120"/>
      <c r="B813" s="120"/>
      <c r="C813" s="307"/>
      <c r="D813" s="85"/>
      <c r="E813" s="86" t="s">
        <v>17</v>
      </c>
      <c r="F813" s="86" t="s">
        <v>410</v>
      </c>
      <c r="G813" s="125"/>
      <c r="H813" s="125"/>
      <c r="I813" s="125"/>
      <c r="J813" s="41" t="s">
        <v>6</v>
      </c>
      <c r="K813" s="42">
        <f>K812+K811</f>
        <v>54300</v>
      </c>
      <c r="L813" s="43">
        <f>L812+L811</f>
        <v>0</v>
      </c>
      <c r="M813" s="43">
        <f t="shared" ref="M813:Q813" si="628">M812+M811</f>
        <v>0</v>
      </c>
      <c r="N813" s="43">
        <f t="shared" si="628"/>
        <v>11300</v>
      </c>
      <c r="O813" s="43">
        <f t="shared" si="628"/>
        <v>11200</v>
      </c>
      <c r="P813" s="43">
        <f t="shared" si="628"/>
        <v>10900</v>
      </c>
      <c r="Q813" s="43">
        <f t="shared" si="628"/>
        <v>10600</v>
      </c>
      <c r="R813" s="43">
        <f t="shared" ref="R813" si="629">R812+R811</f>
        <v>10300</v>
      </c>
      <c r="S813" s="41" t="s">
        <v>11</v>
      </c>
      <c r="T813" s="43"/>
      <c r="U813" s="43"/>
      <c r="V813" s="41"/>
      <c r="W813" s="41"/>
      <c r="X813" s="41"/>
      <c r="Y813" s="41"/>
      <c r="Z813" s="492"/>
      <c r="AA813" s="533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</row>
    <row r="814" spans="1:46" s="2" customFormat="1" x14ac:dyDescent="0.25">
      <c r="A814" s="26"/>
      <c r="B814" s="26" t="s">
        <v>96</v>
      </c>
      <c r="C814" s="306"/>
      <c r="D814" s="33" t="s">
        <v>3</v>
      </c>
      <c r="E814" s="34">
        <v>41409</v>
      </c>
      <c r="F814" s="34" t="s">
        <v>258</v>
      </c>
      <c r="G814" s="35" t="s">
        <v>498</v>
      </c>
      <c r="H814" s="35">
        <v>31300248</v>
      </c>
      <c r="I814" s="35">
        <v>587010</v>
      </c>
      <c r="J814" s="2" t="s">
        <v>1</v>
      </c>
      <c r="K814" s="27">
        <v>35000</v>
      </c>
      <c r="L814" s="4">
        <v>0</v>
      </c>
      <c r="M814" s="4">
        <v>0</v>
      </c>
      <c r="N814" s="4">
        <v>15000</v>
      </c>
      <c r="O814" s="4">
        <v>10000</v>
      </c>
      <c r="P814" s="283">
        <v>10000</v>
      </c>
      <c r="Q814" s="2" t="s">
        <v>11</v>
      </c>
      <c r="R814" s="283"/>
      <c r="S814" s="283"/>
      <c r="U814" s="283"/>
      <c r="Z814" s="490"/>
      <c r="AA814" s="60"/>
    </row>
    <row r="815" spans="1:46" s="2" customFormat="1" x14ac:dyDescent="0.25">
      <c r="A815" s="26"/>
      <c r="B815" s="26"/>
      <c r="C815" s="306"/>
      <c r="D815" s="33"/>
      <c r="E815" s="34" t="s">
        <v>12</v>
      </c>
      <c r="F815" s="34"/>
      <c r="G815" s="35" t="s">
        <v>499</v>
      </c>
      <c r="H815" s="35"/>
      <c r="I815" s="35"/>
      <c r="J815" s="17" t="s">
        <v>2</v>
      </c>
      <c r="K815" s="28">
        <v>1650</v>
      </c>
      <c r="L815" s="11">
        <v>0</v>
      </c>
      <c r="M815" s="11">
        <v>0</v>
      </c>
      <c r="N815" s="11">
        <f>375+375</f>
        <v>750</v>
      </c>
      <c r="O815" s="11">
        <f>300+300</f>
        <v>600</v>
      </c>
      <c r="P815" s="142">
        <f>150+150</f>
        <v>300</v>
      </c>
      <c r="Q815" s="17" t="s">
        <v>11</v>
      </c>
      <c r="R815" s="142"/>
      <c r="S815" s="142"/>
      <c r="T815" s="17"/>
      <c r="U815" s="142"/>
      <c r="V815" s="17"/>
      <c r="W815" s="17"/>
      <c r="X815" s="17"/>
      <c r="Y815" s="17"/>
      <c r="Z815" s="491"/>
      <c r="AA815" s="532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</row>
    <row r="816" spans="1:46" s="6" customFormat="1" ht="13.8" thickBot="1" x14ac:dyDescent="0.3">
      <c r="A816" s="120"/>
      <c r="B816" s="120"/>
      <c r="C816" s="307"/>
      <c r="D816" s="85"/>
      <c r="E816" s="86" t="s">
        <v>17</v>
      </c>
      <c r="F816" s="86" t="s">
        <v>410</v>
      </c>
      <c r="G816" s="125"/>
      <c r="H816" s="125"/>
      <c r="I816" s="125"/>
      <c r="J816" s="41" t="s">
        <v>6</v>
      </c>
      <c r="K816" s="42">
        <f>K815+K814</f>
        <v>36650</v>
      </c>
      <c r="L816" s="43">
        <f>L815+L814</f>
        <v>0</v>
      </c>
      <c r="M816" s="43">
        <f t="shared" ref="M816:P816" si="630">M815+M814</f>
        <v>0</v>
      </c>
      <c r="N816" s="43">
        <f t="shared" si="630"/>
        <v>15750</v>
      </c>
      <c r="O816" s="43">
        <f t="shared" si="630"/>
        <v>10600</v>
      </c>
      <c r="P816" s="43">
        <f t="shared" si="630"/>
        <v>10300</v>
      </c>
      <c r="Q816" s="41" t="s">
        <v>11</v>
      </c>
      <c r="R816" s="43"/>
      <c r="S816" s="43"/>
      <c r="T816" s="41"/>
      <c r="U816" s="43"/>
      <c r="V816" s="41"/>
      <c r="W816" s="41"/>
      <c r="X816" s="41"/>
      <c r="Y816" s="41"/>
      <c r="Z816" s="492"/>
      <c r="AA816" s="533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</row>
    <row r="817" spans="1:46" s="2" customFormat="1" x14ac:dyDescent="0.25">
      <c r="A817" s="26" t="s">
        <v>98</v>
      </c>
      <c r="B817" s="26" t="s">
        <v>96</v>
      </c>
      <c r="C817" s="306"/>
      <c r="D817" s="33" t="s">
        <v>3</v>
      </c>
      <c r="E817" s="34">
        <v>41409</v>
      </c>
      <c r="F817" s="34" t="s">
        <v>258</v>
      </c>
      <c r="G817" s="35" t="s">
        <v>500</v>
      </c>
      <c r="H817" s="35">
        <v>31300248</v>
      </c>
      <c r="I817" s="35">
        <v>585012</v>
      </c>
      <c r="J817" s="2" t="s">
        <v>1</v>
      </c>
      <c r="K817" s="27">
        <v>180000</v>
      </c>
      <c r="L817" s="4">
        <v>0</v>
      </c>
      <c r="M817" s="4">
        <v>0</v>
      </c>
      <c r="N817" s="4">
        <v>40000</v>
      </c>
      <c r="O817" s="4">
        <v>35000</v>
      </c>
      <c r="P817" s="283">
        <v>35000</v>
      </c>
      <c r="Q817" s="283">
        <v>35000</v>
      </c>
      <c r="R817" s="283">
        <v>35000</v>
      </c>
      <c r="S817" s="2" t="s">
        <v>11</v>
      </c>
      <c r="T817" s="283"/>
      <c r="U817" s="283"/>
      <c r="Z817" s="490"/>
      <c r="AA817" s="60"/>
    </row>
    <row r="818" spans="1:46" s="2" customFormat="1" x14ac:dyDescent="0.25">
      <c r="A818" s="26"/>
      <c r="B818" s="26"/>
      <c r="C818" s="306"/>
      <c r="D818" s="33"/>
      <c r="E818" s="34" t="s">
        <v>12</v>
      </c>
      <c r="F818" s="34"/>
      <c r="G818" s="35" t="s">
        <v>501</v>
      </c>
      <c r="H818" s="35"/>
      <c r="I818" s="35"/>
      <c r="J818" s="17" t="s">
        <v>2</v>
      </c>
      <c r="K818" s="28">
        <v>15100</v>
      </c>
      <c r="L818" s="11">
        <v>0</v>
      </c>
      <c r="M818" s="11">
        <v>0</v>
      </c>
      <c r="N818" s="11">
        <f>2300+2300</f>
        <v>4600</v>
      </c>
      <c r="O818" s="11">
        <f>2100+2100</f>
        <v>4200</v>
      </c>
      <c r="P818" s="142">
        <f>1575+1575</f>
        <v>3150</v>
      </c>
      <c r="Q818" s="142">
        <f>1050+1050</f>
        <v>2100</v>
      </c>
      <c r="R818" s="142">
        <f>525+525</f>
        <v>1050</v>
      </c>
      <c r="S818" s="17" t="s">
        <v>11</v>
      </c>
      <c r="T818" s="142"/>
      <c r="U818" s="142"/>
      <c r="V818" s="17"/>
      <c r="W818" s="17"/>
      <c r="X818" s="17"/>
      <c r="Y818" s="17"/>
      <c r="Z818" s="491"/>
      <c r="AA818" s="532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</row>
    <row r="819" spans="1:46" s="6" customFormat="1" ht="13.8" thickBot="1" x14ac:dyDescent="0.3">
      <c r="A819" s="120"/>
      <c r="B819" s="120"/>
      <c r="C819" s="307"/>
      <c r="D819" s="85"/>
      <c r="E819" s="86" t="s">
        <v>17</v>
      </c>
      <c r="F819" s="86" t="s">
        <v>410</v>
      </c>
      <c r="G819" s="125"/>
      <c r="H819" s="125"/>
      <c r="I819" s="125"/>
      <c r="J819" s="41" t="s">
        <v>6</v>
      </c>
      <c r="K819" s="42">
        <f>K818+K817</f>
        <v>195100</v>
      </c>
      <c r="L819" s="43">
        <f>L818+L817</f>
        <v>0</v>
      </c>
      <c r="M819" s="43">
        <f t="shared" ref="M819:Q819" si="631">M818+M817</f>
        <v>0</v>
      </c>
      <c r="N819" s="43">
        <f t="shared" si="631"/>
        <v>44600</v>
      </c>
      <c r="O819" s="43">
        <f t="shared" si="631"/>
        <v>39200</v>
      </c>
      <c r="P819" s="43">
        <f t="shared" si="631"/>
        <v>38150</v>
      </c>
      <c r="Q819" s="43">
        <f t="shared" si="631"/>
        <v>37100</v>
      </c>
      <c r="R819" s="43">
        <f t="shared" ref="R819" si="632">R818+R817</f>
        <v>36050</v>
      </c>
      <c r="S819" s="41" t="s">
        <v>11</v>
      </c>
      <c r="T819" s="43"/>
      <c r="U819" s="43"/>
      <c r="V819" s="41"/>
      <c r="W819" s="41"/>
      <c r="X819" s="41"/>
      <c r="Y819" s="41"/>
      <c r="Z819" s="492"/>
      <c r="AA819" s="533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</row>
    <row r="820" spans="1:46" s="2" customFormat="1" x14ac:dyDescent="0.25">
      <c r="A820" s="26" t="s">
        <v>95</v>
      </c>
      <c r="B820" s="26" t="s">
        <v>96</v>
      </c>
      <c r="C820" s="306"/>
      <c r="D820" s="33" t="s">
        <v>3</v>
      </c>
      <c r="E820" s="34">
        <v>41409</v>
      </c>
      <c r="F820" s="34" t="s">
        <v>346</v>
      </c>
      <c r="G820" s="35" t="s">
        <v>502</v>
      </c>
      <c r="H820" s="35">
        <v>31300248</v>
      </c>
      <c r="I820" s="35">
        <v>584016</v>
      </c>
      <c r="J820" s="2" t="s">
        <v>1</v>
      </c>
      <c r="K820" s="27">
        <v>201342</v>
      </c>
      <c r="L820" s="4">
        <v>0</v>
      </c>
      <c r="M820" s="4">
        <v>0</v>
      </c>
      <c r="N820" s="4">
        <v>21342</v>
      </c>
      <c r="O820" s="4">
        <v>20000</v>
      </c>
      <c r="P820" s="283">
        <v>20000</v>
      </c>
      <c r="Q820" s="283">
        <v>20000</v>
      </c>
      <c r="R820" s="283">
        <v>20000</v>
      </c>
      <c r="S820" s="283">
        <v>20000</v>
      </c>
      <c r="T820" s="283">
        <v>20000</v>
      </c>
      <c r="U820" s="283">
        <v>20000</v>
      </c>
      <c r="V820" s="283">
        <v>20000</v>
      </c>
      <c r="W820" s="283">
        <v>20000</v>
      </c>
      <c r="X820" s="2" t="s">
        <v>11</v>
      </c>
      <c r="Y820" s="283"/>
      <c r="Z820" s="497"/>
      <c r="AA820" s="536"/>
      <c r="AB820" s="5"/>
      <c r="AC820" s="5"/>
    </row>
    <row r="821" spans="1:46" s="2" customFormat="1" x14ac:dyDescent="0.25">
      <c r="A821" s="400" t="s">
        <v>985</v>
      </c>
      <c r="B821" s="26"/>
      <c r="C821" s="306"/>
      <c r="D821" s="33"/>
      <c r="E821" s="34" t="s">
        <v>12</v>
      </c>
      <c r="F821" s="34"/>
      <c r="G821" s="35" t="s">
        <v>503</v>
      </c>
      <c r="H821" s="35"/>
      <c r="I821" s="35"/>
      <c r="J821" s="17" t="s">
        <v>2</v>
      </c>
      <c r="K821" s="28">
        <v>31813.42</v>
      </c>
      <c r="L821" s="11">
        <v>0</v>
      </c>
      <c r="M821" s="11">
        <v>0</v>
      </c>
      <c r="N821" s="11">
        <f>2806.71+2806.71</f>
        <v>5613.42</v>
      </c>
      <c r="O821" s="11">
        <f>2700+2700</f>
        <v>5400</v>
      </c>
      <c r="P821" s="142">
        <f>2400+2400</f>
        <v>4800</v>
      </c>
      <c r="Q821" s="142">
        <f>2100+2100</f>
        <v>4200</v>
      </c>
      <c r="R821" s="142">
        <f>1800+1800</f>
        <v>3600</v>
      </c>
      <c r="S821" s="142">
        <f>1500+1500</f>
        <v>3000</v>
      </c>
      <c r="T821" s="142">
        <f>1200+1200</f>
        <v>2400</v>
      </c>
      <c r="U821" s="142">
        <f>800+800</f>
        <v>1600</v>
      </c>
      <c r="V821" s="142">
        <f>400+400</f>
        <v>800</v>
      </c>
      <c r="W821" s="142">
        <f>200+200</f>
        <v>400</v>
      </c>
      <c r="X821" s="17" t="s">
        <v>11</v>
      </c>
      <c r="Y821" s="142"/>
      <c r="Z821" s="500"/>
      <c r="AA821" s="539"/>
      <c r="AB821" s="21"/>
      <c r="AC821" s="21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</row>
    <row r="822" spans="1:46" s="6" customFormat="1" ht="13.8" thickBot="1" x14ac:dyDescent="0.3">
      <c r="A822" s="409" t="s">
        <v>1117</v>
      </c>
      <c r="B822" s="120"/>
      <c r="C822" s="307"/>
      <c r="D822" s="85"/>
      <c r="E822" s="86" t="s">
        <v>161</v>
      </c>
      <c r="F822" s="86" t="s">
        <v>410</v>
      </c>
      <c r="G822" s="125"/>
      <c r="H822" s="125"/>
      <c r="I822" s="125"/>
      <c r="J822" s="41" t="s">
        <v>6</v>
      </c>
      <c r="K822" s="42">
        <f>K821+K820</f>
        <v>233155.41999999998</v>
      </c>
      <c r="L822" s="43">
        <f>L821+L820</f>
        <v>0</v>
      </c>
      <c r="M822" s="43">
        <f t="shared" ref="M822:Q822" si="633">M821+M820</f>
        <v>0</v>
      </c>
      <c r="N822" s="43">
        <f t="shared" si="633"/>
        <v>26955.42</v>
      </c>
      <c r="O822" s="43">
        <f t="shared" si="633"/>
        <v>25400</v>
      </c>
      <c r="P822" s="43">
        <f t="shared" si="633"/>
        <v>24800</v>
      </c>
      <c r="Q822" s="43">
        <f t="shared" si="633"/>
        <v>24200</v>
      </c>
      <c r="R822" s="43">
        <f t="shared" ref="R822" si="634">R821+R820</f>
        <v>23600</v>
      </c>
      <c r="S822" s="43">
        <f t="shared" ref="S822" si="635">S821+S820</f>
        <v>23000</v>
      </c>
      <c r="T822" s="43">
        <f t="shared" ref="T822" si="636">T821+T820</f>
        <v>22400</v>
      </c>
      <c r="U822" s="43">
        <f t="shared" ref="U822" si="637">U821+U820</f>
        <v>21600</v>
      </c>
      <c r="V822" s="43">
        <f t="shared" ref="V822" si="638">V821+V820</f>
        <v>20800</v>
      </c>
      <c r="W822" s="43">
        <f t="shared" ref="W822" si="639">W821+W820</f>
        <v>20400</v>
      </c>
      <c r="X822" s="41" t="s">
        <v>11</v>
      </c>
      <c r="Y822" s="43"/>
      <c r="Z822" s="499"/>
      <c r="AA822" s="538"/>
      <c r="AB822" s="43"/>
      <c r="AC822" s="43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</row>
    <row r="823" spans="1:46" s="2" customFormat="1" x14ac:dyDescent="0.25">
      <c r="A823" s="26" t="s">
        <v>95</v>
      </c>
      <c r="B823" s="26" t="s">
        <v>96</v>
      </c>
      <c r="C823" s="306"/>
      <c r="D823" s="33" t="s">
        <v>3</v>
      </c>
      <c r="E823" s="34">
        <v>41409</v>
      </c>
      <c r="F823" s="34" t="s">
        <v>269</v>
      </c>
      <c r="G823" s="35" t="s">
        <v>504</v>
      </c>
      <c r="H823" s="35">
        <v>31300248</v>
      </c>
      <c r="I823" s="35">
        <v>582021</v>
      </c>
      <c r="J823" s="2" t="s">
        <v>1</v>
      </c>
      <c r="K823" s="27">
        <v>48000</v>
      </c>
      <c r="L823" s="4">
        <v>0</v>
      </c>
      <c r="M823" s="4">
        <v>0</v>
      </c>
      <c r="N823" s="4">
        <v>8000</v>
      </c>
      <c r="O823" s="4">
        <v>10000</v>
      </c>
      <c r="P823" s="283">
        <v>10000</v>
      </c>
      <c r="Q823" s="283">
        <v>10000</v>
      </c>
      <c r="R823" s="283">
        <v>10000</v>
      </c>
      <c r="S823" s="2" t="s">
        <v>11</v>
      </c>
      <c r="T823" s="283"/>
      <c r="U823" s="283"/>
      <c r="Z823" s="490"/>
      <c r="AA823" s="60"/>
    </row>
    <row r="824" spans="1:46" s="2" customFormat="1" x14ac:dyDescent="0.25">
      <c r="A824" s="26"/>
      <c r="B824" s="26"/>
      <c r="C824" s="306"/>
      <c r="D824" s="33"/>
      <c r="E824" s="34" t="s">
        <v>12</v>
      </c>
      <c r="F824" s="34"/>
      <c r="G824" s="35" t="s">
        <v>505</v>
      </c>
      <c r="H824" s="35"/>
      <c r="I824" s="35"/>
      <c r="J824" s="17" t="s">
        <v>2</v>
      </c>
      <c r="K824" s="28">
        <v>4280</v>
      </c>
      <c r="L824" s="11">
        <v>0</v>
      </c>
      <c r="M824" s="11">
        <v>0</v>
      </c>
      <c r="N824" s="11">
        <f>640+640</f>
        <v>1280</v>
      </c>
      <c r="O824" s="11">
        <f>600+600</f>
        <v>1200</v>
      </c>
      <c r="P824" s="142">
        <f>450+450</f>
        <v>900</v>
      </c>
      <c r="Q824" s="142">
        <f>300+300</f>
        <v>600</v>
      </c>
      <c r="R824" s="142">
        <f>150+150</f>
        <v>300</v>
      </c>
      <c r="S824" s="17" t="s">
        <v>11</v>
      </c>
      <c r="T824" s="142"/>
      <c r="U824" s="142"/>
      <c r="V824" s="17"/>
      <c r="W824" s="17"/>
      <c r="X824" s="17"/>
      <c r="Y824" s="17"/>
      <c r="Z824" s="491"/>
      <c r="AA824" s="532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</row>
    <row r="825" spans="1:46" s="6" customFormat="1" ht="13.8" thickBot="1" x14ac:dyDescent="0.3">
      <c r="A825" s="120"/>
      <c r="B825" s="120"/>
      <c r="C825" s="307"/>
      <c r="D825" s="85"/>
      <c r="E825" s="86" t="s">
        <v>161</v>
      </c>
      <c r="F825" s="86" t="s">
        <v>410</v>
      </c>
      <c r="G825" s="125"/>
      <c r="H825" s="125"/>
      <c r="I825" s="125"/>
      <c r="J825" s="41" t="s">
        <v>6</v>
      </c>
      <c r="K825" s="42">
        <f>K824+K823</f>
        <v>52280</v>
      </c>
      <c r="L825" s="43">
        <f>L824+L823</f>
        <v>0</v>
      </c>
      <c r="M825" s="43">
        <f t="shared" ref="M825:Q825" si="640">M824+M823</f>
        <v>0</v>
      </c>
      <c r="N825" s="43">
        <f t="shared" si="640"/>
        <v>9280</v>
      </c>
      <c r="O825" s="43">
        <f t="shared" si="640"/>
        <v>11200</v>
      </c>
      <c r="P825" s="43">
        <f t="shared" si="640"/>
        <v>10900</v>
      </c>
      <c r="Q825" s="43">
        <f t="shared" si="640"/>
        <v>10600</v>
      </c>
      <c r="R825" s="43">
        <f t="shared" ref="R825" si="641">R824+R823</f>
        <v>10300</v>
      </c>
      <c r="S825" s="41" t="s">
        <v>11</v>
      </c>
      <c r="T825" s="43"/>
      <c r="U825" s="43"/>
      <c r="V825" s="41"/>
      <c r="W825" s="41"/>
      <c r="X825" s="41"/>
      <c r="Y825" s="41"/>
      <c r="Z825" s="492"/>
      <c r="AA825" s="533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</row>
    <row r="826" spans="1:46" s="3" customFormat="1" x14ac:dyDescent="0.25">
      <c r="A826" s="121"/>
      <c r="B826" s="121"/>
      <c r="C826" s="306"/>
      <c r="D826" s="54"/>
      <c r="E826" s="54"/>
      <c r="F826" s="54"/>
      <c r="G826" s="36" t="s">
        <v>32</v>
      </c>
      <c r="H826" s="152">
        <v>1773819</v>
      </c>
      <c r="I826" s="36">
        <v>591100</v>
      </c>
      <c r="J826" s="33" t="s">
        <v>1</v>
      </c>
      <c r="K826" s="37">
        <f>K823+K820+K817+K814+K811+K808+K805+K802+K799+K796+K793+K790+K787+K784+K781+K778+K775+K772+K769+K766+K763+K760+K757+K754+K751+K748+K745+K742+K739+K736+K733+K730+K727+K724+K721+K718+K715+K712</f>
        <v>4580636</v>
      </c>
      <c r="L826" s="7">
        <v>0</v>
      </c>
      <c r="M826" s="7">
        <v>0</v>
      </c>
      <c r="N826" s="67">
        <f>N823+N820+N817+N814+N811+N808+N805+N802+N799+N796+N793+N790+N787+N784+N781+N778+N775+N772+N769+N766+N763+N760+N757+N754+N751+N748+N745+N742+N739+N736+N733+N730+N727+N724+N721+N718+N715+N712</f>
        <v>690636</v>
      </c>
      <c r="O826" s="67">
        <f>O823+O820+O817+O814+O811+O808+O805+O802+O799+O796+O793+O790+O787+O784+O781+O778+O775+O772+O769+O766+O763+O760+O757+O754+O751+O748+O745+O742+O739+O736+O733+O730+O727+O724+O721+O718+O715+O712</f>
        <v>610000</v>
      </c>
      <c r="P826" s="67">
        <f>P823+P820+P817+P814+P811+P805+P802+P799+P796+P793+P787+P784+P781+P778+P775+P772+P769+P766+P763+P760+P757+P754+P751+P748+P745+P742+P739+P736+P733+P730+P727+P724+P721+P718+P715+P712</f>
        <v>560000</v>
      </c>
      <c r="Q826" s="67">
        <f>Q823+Q820+Q817+Q811+Q805+Q802+Q799+Q796+Q793+Q787+Q781+Q778+Q775+Q772+Q769+Q766+Q763+Q760+Q757+Q754+Q751+Q748+Q745+Q742+Q739+Q736+Q733+Q730+Q727+Q724+Q721+Q718+Q715+Q712</f>
        <v>540000</v>
      </c>
      <c r="R826" s="67">
        <f>R823+R820+R817+R811+R805+R802+R799+R796+R793+R787+R781+R778+R772+R769+R766+R763+R760+R757+R754+R751+R748+R745+R742+R739+R736+R733+R730+R727+R724+R721+R718+R715+R712</f>
        <v>510000</v>
      </c>
      <c r="S826" s="67">
        <f>S820+S802+S799+S796+S793+S787+S766+S754+S745+S724</f>
        <v>265000</v>
      </c>
      <c r="T826" s="67">
        <f>T820+T802+T799+T796+T793+T787+T766+T754+T745+T724</f>
        <v>265000</v>
      </c>
      <c r="U826" s="67">
        <f>U820+U802+U799+U796+U793+U766+U754+U745+U724</f>
        <v>250000</v>
      </c>
      <c r="V826" s="67">
        <f>V820+V802+V796+V793+V766+V754+V724</f>
        <v>225000</v>
      </c>
      <c r="W826" s="67">
        <f>W820+W802+W796+W793+W766+W754+W724</f>
        <v>225000</v>
      </c>
      <c r="X826" s="67">
        <f>X802+X796+X766+X724</f>
        <v>100000</v>
      </c>
      <c r="Y826" s="67">
        <f>Y796+Y766+Y724</f>
        <v>85000</v>
      </c>
      <c r="Z826" s="507">
        <f t="shared" ref="Z826:AB826" si="642">Z796+Z766+Z724</f>
        <v>85000</v>
      </c>
      <c r="AA826" s="546">
        <f t="shared" si="642"/>
        <v>85000</v>
      </c>
      <c r="AB826" s="67">
        <f t="shared" si="642"/>
        <v>85000</v>
      </c>
      <c r="AC826" s="3" t="s">
        <v>11</v>
      </c>
    </row>
    <row r="827" spans="1:46" s="3" customFormat="1" x14ac:dyDescent="0.25">
      <c r="A827" s="121"/>
      <c r="B827" s="121"/>
      <c r="C827" s="306"/>
      <c r="D827" s="54"/>
      <c r="E827" s="54"/>
      <c r="F827" s="54"/>
      <c r="G827" s="33"/>
      <c r="H827" s="152">
        <v>1773819</v>
      </c>
      <c r="I827" s="33">
        <v>595100</v>
      </c>
      <c r="J827" s="38" t="s">
        <v>2</v>
      </c>
      <c r="K827" s="37">
        <f>K824+K821+K818+K815+K812+K809+K806+K803+K800+K797+K794+K791+K788+K785+K782+K779+K776+K773+K770+K767+K764+K761+K758+K755+K752+K749+K746+K743+K740+K737+K734+K731+K728+K725+K722+K719+K716+K713</f>
        <v>647116.36</v>
      </c>
      <c r="L827" s="16">
        <v>0</v>
      </c>
      <c r="M827" s="16">
        <v>0</v>
      </c>
      <c r="N827" s="7">
        <f>N824+N821+N818+N815+N812+N809+N806+N803+N800+N797+N794+N791+N788+N785+N782+N779+N776+N773+N770+N767+N764+N761+N758+N755+N752+N749+N746+N743+N740+N737+N734+N731+N728+N725+N722+N719+N716+N713</f>
        <v>120621.36</v>
      </c>
      <c r="O827" s="7">
        <f>O824+O821+O818+O815+O812+O809+O806+O803+O800+O797+O794+O791+O788+O785+O782+O779+O776+O773+O770+O767+O764+O761+O758+O755+O752+O749+O746+O743+O740+O737+O734+O731+O728+O725+O722+O719+O716+O713</f>
        <v>113715</v>
      </c>
      <c r="P827" s="7">
        <f>P824+P821+P818+P815+P812+P806+P803+P800+P797+P794+P788+P785+P782+P779+P776+P773+P770+P767+P764+P761+P758+P755+P752+P749+P746+P743+P740+P737+P734+P731+P728+P725+P722+P719+P716+P713</f>
        <v>95415</v>
      </c>
      <c r="Q827" s="7">
        <f>Q824+Q821+Q818+Q812+Q806+Q803+Q800+Q797+Q794+Q788+Q782+Q779+Q776+Q773+Q770+Q767+Q764+Q761+Q758+Q755+Q752+Q749+Q746+Q743+Q740+Q737+Q734+Q731+Q728+Q725+Q722+Q719+Q716+Q713</f>
        <v>78615</v>
      </c>
      <c r="R827" s="7">
        <f>R824+R821+R818+R812+R806+R803+R800+R797+R794+R788+R782+R779+R773+R770+R767+R764+R761+R758+R755+R752+R749+R746+R743+R740+R737+R734+R731+R728+R725+R722+R719+R716+R713</f>
        <v>62415</v>
      </c>
      <c r="S827" s="7">
        <f>S821+S803+S800+S797+S794+S788+S767+S755+S746+S725</f>
        <v>47115</v>
      </c>
      <c r="T827" s="7">
        <f>T821+T803+T800+T797+T794+T788+T767+T755+T746+T725</f>
        <v>39165</v>
      </c>
      <c r="U827" s="7">
        <f>U821+U803+U800+U797+U794+U767+U755+U746+U725</f>
        <v>28565</v>
      </c>
      <c r="V827" s="7">
        <f>V821+V803+V797+V794+V767+V755+V725</f>
        <v>18565</v>
      </c>
      <c r="W827" s="7">
        <f>W821+W803+W797+W794+W767+W755+W725</f>
        <v>14065</v>
      </c>
      <c r="X827" s="7">
        <f>X803+X797+X767+X725</f>
        <v>9565</v>
      </c>
      <c r="Y827" s="7">
        <f>Y797+Y767+Y725</f>
        <v>7565</v>
      </c>
      <c r="Z827" s="501">
        <f t="shared" ref="Z827:AB827" si="643">Z797+Z767+Z725</f>
        <v>5865</v>
      </c>
      <c r="AA827" s="540">
        <f t="shared" si="643"/>
        <v>3910</v>
      </c>
      <c r="AB827" s="7">
        <f t="shared" si="643"/>
        <v>1955</v>
      </c>
      <c r="AC827" s="20" t="s">
        <v>11</v>
      </c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</row>
    <row r="828" spans="1:46" s="8" customFormat="1" ht="13.8" thickBot="1" x14ac:dyDescent="0.3">
      <c r="A828" s="122"/>
      <c r="B828" s="122"/>
      <c r="C828" s="307"/>
      <c r="D828" s="85"/>
      <c r="E828" s="85"/>
      <c r="F828" s="85"/>
      <c r="G828" s="85"/>
      <c r="H828" s="85"/>
      <c r="I828" s="85"/>
      <c r="J828" s="44" t="s">
        <v>5</v>
      </c>
      <c r="K828" s="45">
        <f>K827+K826</f>
        <v>5227752.3600000003</v>
      </c>
      <c r="L828" s="46">
        <f>L827+L826</f>
        <v>0</v>
      </c>
      <c r="M828" s="46">
        <f t="shared" ref="M828" si="644">M827+M826</f>
        <v>0</v>
      </c>
      <c r="N828" s="46">
        <f>N827+N826</f>
        <v>811257.36</v>
      </c>
      <c r="O828" s="46">
        <f>O827+O826</f>
        <v>723715</v>
      </c>
      <c r="P828" s="46">
        <f t="shared" ref="P828:W828" si="645">P827+P826</f>
        <v>655415</v>
      </c>
      <c r="Q828" s="46">
        <f t="shared" si="645"/>
        <v>618615</v>
      </c>
      <c r="R828" s="46">
        <f t="shared" si="645"/>
        <v>572415</v>
      </c>
      <c r="S828" s="46">
        <f t="shared" si="645"/>
        <v>312115</v>
      </c>
      <c r="T828" s="46">
        <f t="shared" si="645"/>
        <v>304165</v>
      </c>
      <c r="U828" s="46">
        <f t="shared" si="645"/>
        <v>278565</v>
      </c>
      <c r="V828" s="46">
        <f t="shared" si="645"/>
        <v>243565</v>
      </c>
      <c r="W828" s="46">
        <f t="shared" si="645"/>
        <v>239065</v>
      </c>
      <c r="X828" s="46">
        <f t="shared" ref="X828:Y828" si="646">X827+X826</f>
        <v>109565</v>
      </c>
      <c r="Y828" s="46">
        <f t="shared" si="646"/>
        <v>92565</v>
      </c>
      <c r="Z828" s="503">
        <f t="shared" ref="Z828" si="647">Z827+Z826</f>
        <v>90865</v>
      </c>
      <c r="AA828" s="542">
        <f t="shared" ref="AA828" si="648">AA827+AA826</f>
        <v>88910</v>
      </c>
      <c r="AB828" s="46">
        <f t="shared" ref="AB828" si="649">AB827+AB826</f>
        <v>86955</v>
      </c>
      <c r="AC828" s="47" t="s">
        <v>11</v>
      </c>
      <c r="AD828" s="47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47"/>
      <c r="AP828" s="47"/>
      <c r="AQ828" s="47"/>
      <c r="AR828" s="47"/>
      <c r="AS828" s="47"/>
      <c r="AT828" s="47"/>
    </row>
    <row r="829" spans="1:46" s="6" customFormat="1" x14ac:dyDescent="0.25">
      <c r="A829" s="26" t="s">
        <v>4</v>
      </c>
      <c r="B829" s="26" t="s">
        <v>97</v>
      </c>
      <c r="C829" s="306"/>
      <c r="D829" s="10" t="s">
        <v>4</v>
      </c>
      <c r="E829" s="25">
        <v>41409</v>
      </c>
      <c r="F829" s="25" t="s">
        <v>267</v>
      </c>
      <c r="G829" s="316" t="s">
        <v>506</v>
      </c>
      <c r="H829" s="316">
        <v>61313136</v>
      </c>
      <c r="I829" s="316">
        <v>584000</v>
      </c>
      <c r="J829" s="2" t="s">
        <v>1</v>
      </c>
      <c r="K829" s="27">
        <v>504400</v>
      </c>
      <c r="L829" s="4">
        <v>0</v>
      </c>
      <c r="M829" s="4">
        <v>0</v>
      </c>
      <c r="N829" s="4">
        <v>39400</v>
      </c>
      <c r="O829" s="4">
        <v>35000</v>
      </c>
      <c r="P829" s="283">
        <v>35000</v>
      </c>
      <c r="Q829" s="283">
        <v>35000</v>
      </c>
      <c r="R829" s="283">
        <v>35000</v>
      </c>
      <c r="S829" s="283">
        <v>35000</v>
      </c>
      <c r="T829" s="283">
        <v>35000</v>
      </c>
      <c r="U829" s="283">
        <v>35000</v>
      </c>
      <c r="V829" s="283">
        <v>35000</v>
      </c>
      <c r="W829" s="283">
        <v>35000</v>
      </c>
      <c r="X829" s="283">
        <v>30000</v>
      </c>
      <c r="Y829" s="283">
        <v>30000</v>
      </c>
      <c r="Z829" s="497">
        <v>30000</v>
      </c>
      <c r="AA829" s="536">
        <v>30000</v>
      </c>
      <c r="AB829" s="5">
        <v>30000</v>
      </c>
      <c r="AC829" s="2" t="s">
        <v>11</v>
      </c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1:46" s="6" customFormat="1" x14ac:dyDescent="0.25">
      <c r="A830" s="400" t="s">
        <v>1294</v>
      </c>
      <c r="B830" s="26"/>
      <c r="C830" s="306"/>
      <c r="D830" s="84"/>
      <c r="E830" s="317" t="s">
        <v>13</v>
      </c>
      <c r="F830" s="25"/>
      <c r="G830" s="12" t="s">
        <v>507</v>
      </c>
      <c r="H830" s="12"/>
      <c r="I830" s="12"/>
      <c r="J830" s="17" t="s">
        <v>2</v>
      </c>
      <c r="K830" s="28">
        <v>98474</v>
      </c>
      <c r="L830" s="11">
        <v>0</v>
      </c>
      <c r="M830" s="11">
        <v>0</v>
      </c>
      <c r="N830" s="11">
        <f>6557+6557</f>
        <v>13114</v>
      </c>
      <c r="O830" s="11">
        <f>6360+6360</f>
        <v>12720</v>
      </c>
      <c r="P830" s="142">
        <f>5835+5835</f>
        <v>11670</v>
      </c>
      <c r="Q830" s="142">
        <f>5310+5310</f>
        <v>10620</v>
      </c>
      <c r="R830" s="142">
        <f>4785+4785</f>
        <v>9570</v>
      </c>
      <c r="S830" s="142">
        <f>4260+4260</f>
        <v>8520</v>
      </c>
      <c r="T830" s="142">
        <f>3735+3735</f>
        <v>7470</v>
      </c>
      <c r="U830" s="142">
        <f>3035+3035</f>
        <v>6070</v>
      </c>
      <c r="V830" s="142">
        <f>2335+2335</f>
        <v>4670</v>
      </c>
      <c r="W830" s="142">
        <f>1985+1985</f>
        <v>3970</v>
      </c>
      <c r="X830" s="142">
        <f>1635+1635</f>
        <v>3270</v>
      </c>
      <c r="Y830" s="142">
        <f>1335+1335</f>
        <v>2670</v>
      </c>
      <c r="Z830" s="500">
        <f>1035+1035</f>
        <v>2070</v>
      </c>
      <c r="AA830" s="539">
        <f>690+690</f>
        <v>1380</v>
      </c>
      <c r="AB830" s="21">
        <f>345+345</f>
        <v>690</v>
      </c>
      <c r="AC830" s="17" t="s">
        <v>11</v>
      </c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</row>
    <row r="831" spans="1:46" s="6" customFormat="1" ht="13.8" thickBot="1" x14ac:dyDescent="0.3">
      <c r="A831" s="409" t="s">
        <v>1121</v>
      </c>
      <c r="B831" s="120"/>
      <c r="C831" s="307"/>
      <c r="D831" s="89"/>
      <c r="E831" s="90" t="s">
        <v>16</v>
      </c>
      <c r="F831" s="90" t="s">
        <v>407</v>
      </c>
      <c r="G831" s="144" t="s">
        <v>620</v>
      </c>
      <c r="H831" s="144"/>
      <c r="I831" s="144"/>
      <c r="J831" s="41" t="s">
        <v>6</v>
      </c>
      <c r="K831" s="42">
        <f>K830+K829</f>
        <v>602874</v>
      </c>
      <c r="L831" s="43">
        <f>L830+L829</f>
        <v>0</v>
      </c>
      <c r="M831" s="43">
        <f t="shared" ref="M831:AA831" si="650">M830+M829</f>
        <v>0</v>
      </c>
      <c r="N831" s="43">
        <f t="shared" si="650"/>
        <v>52514</v>
      </c>
      <c r="O831" s="43">
        <f t="shared" si="650"/>
        <v>47720</v>
      </c>
      <c r="P831" s="43">
        <f t="shared" si="650"/>
        <v>46670</v>
      </c>
      <c r="Q831" s="43">
        <f t="shared" si="650"/>
        <v>45620</v>
      </c>
      <c r="R831" s="43">
        <f t="shared" si="650"/>
        <v>44570</v>
      </c>
      <c r="S831" s="43">
        <f t="shared" si="650"/>
        <v>43520</v>
      </c>
      <c r="T831" s="43">
        <f t="shared" si="650"/>
        <v>42470</v>
      </c>
      <c r="U831" s="43">
        <f t="shared" si="650"/>
        <v>41070</v>
      </c>
      <c r="V831" s="43">
        <f t="shared" si="650"/>
        <v>39670</v>
      </c>
      <c r="W831" s="43">
        <f t="shared" si="650"/>
        <v>38970</v>
      </c>
      <c r="X831" s="43">
        <f t="shared" si="650"/>
        <v>33270</v>
      </c>
      <c r="Y831" s="43">
        <f t="shared" si="650"/>
        <v>32670</v>
      </c>
      <c r="Z831" s="499">
        <f t="shared" si="650"/>
        <v>32070</v>
      </c>
      <c r="AA831" s="538">
        <f t="shared" si="650"/>
        <v>31380</v>
      </c>
      <c r="AB831" s="43">
        <f t="shared" ref="AB831" si="651">AB830+AB829</f>
        <v>30690</v>
      </c>
      <c r="AC831" s="41" t="s">
        <v>11</v>
      </c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</row>
    <row r="832" spans="1:46" s="8" customFormat="1" x14ac:dyDescent="0.25">
      <c r="A832" s="121"/>
      <c r="B832" s="121"/>
      <c r="C832" s="306"/>
      <c r="D832" s="55"/>
      <c r="E832" s="55"/>
      <c r="F832" s="55"/>
      <c r="G832" s="9" t="s">
        <v>7</v>
      </c>
      <c r="H832" s="9">
        <v>61773819</v>
      </c>
      <c r="I832" s="9">
        <v>591100</v>
      </c>
      <c r="J832" s="10" t="s">
        <v>1</v>
      </c>
      <c r="K832" s="31">
        <f>K829</f>
        <v>504400</v>
      </c>
      <c r="L832" s="7">
        <v>0</v>
      </c>
      <c r="M832" s="7">
        <v>0</v>
      </c>
      <c r="N832" s="67">
        <f>N829</f>
        <v>39400</v>
      </c>
      <c r="O832" s="67">
        <f t="shared" ref="O832:AA832" si="652">O829</f>
        <v>35000</v>
      </c>
      <c r="P832" s="67">
        <f t="shared" si="652"/>
        <v>35000</v>
      </c>
      <c r="Q832" s="67">
        <f t="shared" si="652"/>
        <v>35000</v>
      </c>
      <c r="R832" s="67">
        <f t="shared" si="652"/>
        <v>35000</v>
      </c>
      <c r="S832" s="67">
        <f t="shared" si="652"/>
        <v>35000</v>
      </c>
      <c r="T832" s="67">
        <f t="shared" si="652"/>
        <v>35000</v>
      </c>
      <c r="U832" s="67">
        <f t="shared" si="652"/>
        <v>35000</v>
      </c>
      <c r="V832" s="67">
        <f t="shared" si="652"/>
        <v>35000</v>
      </c>
      <c r="W832" s="67">
        <f t="shared" si="652"/>
        <v>35000</v>
      </c>
      <c r="X832" s="67">
        <f t="shared" si="652"/>
        <v>30000</v>
      </c>
      <c r="Y832" s="67">
        <f t="shared" si="652"/>
        <v>30000</v>
      </c>
      <c r="Z832" s="507">
        <f t="shared" si="652"/>
        <v>30000</v>
      </c>
      <c r="AA832" s="546">
        <f t="shared" si="652"/>
        <v>30000</v>
      </c>
      <c r="AB832" s="67">
        <f>AB829</f>
        <v>30000</v>
      </c>
      <c r="AC832" s="3" t="s">
        <v>11</v>
      </c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 s="8" customFormat="1" x14ac:dyDescent="0.25">
      <c r="A833" s="121"/>
      <c r="B833" s="121"/>
      <c r="C833" s="306"/>
      <c r="D833" s="10"/>
      <c r="E833" s="10"/>
      <c r="F833" s="10"/>
      <c r="G833" s="10"/>
      <c r="H833" s="9">
        <v>61773819</v>
      </c>
      <c r="I833" s="10">
        <v>595100</v>
      </c>
      <c r="J833" s="19" t="s">
        <v>2</v>
      </c>
      <c r="K833" s="32">
        <f>K830</f>
        <v>98474</v>
      </c>
      <c r="L833" s="16">
        <v>0</v>
      </c>
      <c r="M833" s="16">
        <v>0</v>
      </c>
      <c r="N833" s="16">
        <f>N830</f>
        <v>13114</v>
      </c>
      <c r="O833" s="16">
        <f t="shared" ref="O833:AA833" si="653">O830</f>
        <v>12720</v>
      </c>
      <c r="P833" s="16">
        <f t="shared" si="653"/>
        <v>11670</v>
      </c>
      <c r="Q833" s="16">
        <f t="shared" si="653"/>
        <v>10620</v>
      </c>
      <c r="R833" s="16">
        <f t="shared" si="653"/>
        <v>9570</v>
      </c>
      <c r="S833" s="16">
        <f t="shared" si="653"/>
        <v>8520</v>
      </c>
      <c r="T833" s="16">
        <f t="shared" si="653"/>
        <v>7470</v>
      </c>
      <c r="U833" s="16">
        <f t="shared" si="653"/>
        <v>6070</v>
      </c>
      <c r="V833" s="16">
        <f t="shared" si="653"/>
        <v>4670</v>
      </c>
      <c r="W833" s="16">
        <f t="shared" si="653"/>
        <v>3970</v>
      </c>
      <c r="X833" s="16">
        <f t="shared" si="653"/>
        <v>3270</v>
      </c>
      <c r="Y833" s="16">
        <f t="shared" si="653"/>
        <v>2670</v>
      </c>
      <c r="Z833" s="502">
        <f t="shared" si="653"/>
        <v>2070</v>
      </c>
      <c r="AA833" s="541">
        <f t="shared" si="653"/>
        <v>1380</v>
      </c>
      <c r="AB833" s="16">
        <f>AB830</f>
        <v>690</v>
      </c>
      <c r="AC833" s="20" t="s">
        <v>11</v>
      </c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</row>
    <row r="834" spans="1:46" s="8" customFormat="1" ht="13.8" thickBot="1" x14ac:dyDescent="0.3">
      <c r="A834" s="122"/>
      <c r="B834" s="122"/>
      <c r="C834" s="307"/>
      <c r="D834" s="91"/>
      <c r="E834" s="91"/>
      <c r="F834" s="91"/>
      <c r="G834" s="91"/>
      <c r="H834" s="91"/>
      <c r="I834" s="91"/>
      <c r="J834" s="52" t="s">
        <v>5</v>
      </c>
      <c r="K834" s="53">
        <f>K833+K832</f>
        <v>602874</v>
      </c>
      <c r="L834" s="46">
        <f>L833+L832</f>
        <v>0</v>
      </c>
      <c r="M834" s="46">
        <f t="shared" ref="M834" si="654">M833+M832</f>
        <v>0</v>
      </c>
      <c r="N834" s="46">
        <f>N833+N832</f>
        <v>52514</v>
      </c>
      <c r="O834" s="46">
        <f t="shared" ref="O834:AA834" si="655">O833+O832</f>
        <v>47720</v>
      </c>
      <c r="P834" s="46">
        <f t="shared" si="655"/>
        <v>46670</v>
      </c>
      <c r="Q834" s="46">
        <f t="shared" si="655"/>
        <v>45620</v>
      </c>
      <c r="R834" s="46">
        <f t="shared" si="655"/>
        <v>44570</v>
      </c>
      <c r="S834" s="46">
        <f t="shared" si="655"/>
        <v>43520</v>
      </c>
      <c r="T834" s="46">
        <f t="shared" si="655"/>
        <v>42470</v>
      </c>
      <c r="U834" s="46">
        <f t="shared" si="655"/>
        <v>41070</v>
      </c>
      <c r="V834" s="46">
        <f t="shared" si="655"/>
        <v>39670</v>
      </c>
      <c r="W834" s="46">
        <f t="shared" si="655"/>
        <v>38970</v>
      </c>
      <c r="X834" s="46">
        <f t="shared" si="655"/>
        <v>33270</v>
      </c>
      <c r="Y834" s="46">
        <f t="shared" si="655"/>
        <v>32670</v>
      </c>
      <c r="Z834" s="503">
        <f t="shared" si="655"/>
        <v>32070</v>
      </c>
      <c r="AA834" s="542">
        <f t="shared" si="655"/>
        <v>31380</v>
      </c>
      <c r="AB834" s="46">
        <f>AB833+AB832</f>
        <v>30690</v>
      </c>
      <c r="AC834" s="47" t="s">
        <v>11</v>
      </c>
      <c r="AD834" s="47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47"/>
      <c r="AP834" s="47"/>
      <c r="AQ834" s="47"/>
      <c r="AR834" s="47"/>
      <c r="AS834" s="47"/>
      <c r="AT834" s="47"/>
    </row>
    <row r="835" spans="1:46" s="3" customFormat="1" x14ac:dyDescent="0.25">
      <c r="A835" s="121"/>
      <c r="B835" s="121"/>
      <c r="C835" s="306"/>
      <c r="D835" s="102"/>
      <c r="E835" s="285" t="s">
        <v>524</v>
      </c>
      <c r="F835" s="102"/>
      <c r="G835" s="103" t="s">
        <v>513</v>
      </c>
      <c r="H835" s="103"/>
      <c r="I835" s="103"/>
      <c r="J835" s="104" t="s">
        <v>1</v>
      </c>
      <c r="K835" s="105">
        <f>K832+K826</f>
        <v>5085036</v>
      </c>
      <c r="L835" s="7">
        <v>0</v>
      </c>
      <c r="M835" s="7">
        <v>0</v>
      </c>
      <c r="N835" s="67">
        <f>N832+N826</f>
        <v>730036</v>
      </c>
      <c r="O835" s="67">
        <f t="shared" ref="O835:AB835" si="656">O832+O826</f>
        <v>645000</v>
      </c>
      <c r="P835" s="67">
        <f t="shared" si="656"/>
        <v>595000</v>
      </c>
      <c r="Q835" s="67">
        <f t="shared" si="656"/>
        <v>575000</v>
      </c>
      <c r="R835" s="67">
        <f t="shared" si="656"/>
        <v>545000</v>
      </c>
      <c r="S835" s="67">
        <f t="shared" si="656"/>
        <v>300000</v>
      </c>
      <c r="T835" s="67">
        <f t="shared" si="656"/>
        <v>300000</v>
      </c>
      <c r="U835" s="67">
        <f t="shared" si="656"/>
        <v>285000</v>
      </c>
      <c r="V835" s="67">
        <f t="shared" si="656"/>
        <v>260000</v>
      </c>
      <c r="W835" s="67">
        <f t="shared" si="656"/>
        <v>260000</v>
      </c>
      <c r="X835" s="67">
        <f t="shared" si="656"/>
        <v>130000</v>
      </c>
      <c r="Y835" s="67">
        <f t="shared" si="656"/>
        <v>115000</v>
      </c>
      <c r="Z835" s="507">
        <f t="shared" si="656"/>
        <v>115000</v>
      </c>
      <c r="AA835" s="546">
        <f t="shared" si="656"/>
        <v>115000</v>
      </c>
      <c r="AB835" s="67">
        <f t="shared" si="656"/>
        <v>115000</v>
      </c>
      <c r="AC835" s="3" t="s">
        <v>11</v>
      </c>
    </row>
    <row r="836" spans="1:46" s="3" customFormat="1" ht="13.8" thickBot="1" x14ac:dyDescent="0.3">
      <c r="A836" s="121"/>
      <c r="B836" s="121"/>
      <c r="C836" s="306"/>
      <c r="D836" s="104"/>
      <c r="E836" s="285" t="s">
        <v>511</v>
      </c>
      <c r="F836" s="104"/>
      <c r="G836" s="103"/>
      <c r="H836" s="103"/>
      <c r="I836" s="103"/>
      <c r="J836" s="106" t="s">
        <v>2</v>
      </c>
      <c r="K836" s="107">
        <f>K833+K827</f>
        <v>745590.36</v>
      </c>
      <c r="L836" s="22">
        <v>0</v>
      </c>
      <c r="M836" s="22">
        <v>0</v>
      </c>
      <c r="N836" s="22">
        <f>N833+N827</f>
        <v>133735.35999999999</v>
      </c>
      <c r="O836" s="22">
        <f t="shared" ref="O836:AB836" si="657">O833+O827</f>
        <v>126435</v>
      </c>
      <c r="P836" s="22">
        <f t="shared" si="657"/>
        <v>107085</v>
      </c>
      <c r="Q836" s="22">
        <f t="shared" si="657"/>
        <v>89235</v>
      </c>
      <c r="R836" s="22">
        <f t="shared" si="657"/>
        <v>71985</v>
      </c>
      <c r="S836" s="22">
        <f t="shared" si="657"/>
        <v>55635</v>
      </c>
      <c r="T836" s="22">
        <f t="shared" si="657"/>
        <v>46635</v>
      </c>
      <c r="U836" s="22">
        <f t="shared" si="657"/>
        <v>34635</v>
      </c>
      <c r="V836" s="22">
        <f t="shared" si="657"/>
        <v>23235</v>
      </c>
      <c r="W836" s="22">
        <f t="shared" si="657"/>
        <v>18035</v>
      </c>
      <c r="X836" s="22">
        <f t="shared" si="657"/>
        <v>12835</v>
      </c>
      <c r="Y836" s="22">
        <f t="shared" si="657"/>
        <v>10235</v>
      </c>
      <c r="Z836" s="506">
        <f t="shared" si="657"/>
        <v>7935</v>
      </c>
      <c r="AA836" s="545">
        <f t="shared" si="657"/>
        <v>5290</v>
      </c>
      <c r="AB836" s="22">
        <f t="shared" si="657"/>
        <v>2645</v>
      </c>
      <c r="AC836" s="23" t="s">
        <v>11</v>
      </c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</row>
    <row r="837" spans="1:46" s="6" customFormat="1" x14ac:dyDescent="0.25">
      <c r="A837" s="26"/>
      <c r="B837" s="26"/>
      <c r="C837" s="306"/>
      <c r="D837" s="108"/>
      <c r="E837" s="286" t="s">
        <v>512</v>
      </c>
      <c r="F837" s="108"/>
      <c r="G837" s="287" t="s">
        <v>1339</v>
      </c>
      <c r="H837" s="103"/>
      <c r="I837" s="103"/>
      <c r="J837" s="109" t="s">
        <v>5</v>
      </c>
      <c r="K837" s="110">
        <f>K836+K835</f>
        <v>5830626.3600000003</v>
      </c>
      <c r="L837" s="67">
        <f>L836+L835</f>
        <v>0</v>
      </c>
      <c r="M837" s="67">
        <f>M836+M835</f>
        <v>0</v>
      </c>
      <c r="N837" s="282">
        <f>N836+N835</f>
        <v>863771.36</v>
      </c>
      <c r="O837" s="282">
        <f t="shared" ref="O837:AB837" si="658">O836+O835</f>
        <v>771435</v>
      </c>
      <c r="P837" s="282">
        <f t="shared" si="658"/>
        <v>702085</v>
      </c>
      <c r="Q837" s="282">
        <f t="shared" si="658"/>
        <v>664235</v>
      </c>
      <c r="R837" s="282">
        <f t="shared" si="658"/>
        <v>616985</v>
      </c>
      <c r="S837" s="282">
        <f t="shared" si="658"/>
        <v>355635</v>
      </c>
      <c r="T837" s="282">
        <f t="shared" si="658"/>
        <v>346635</v>
      </c>
      <c r="U837" s="282">
        <f t="shared" si="658"/>
        <v>319635</v>
      </c>
      <c r="V837" s="282">
        <f t="shared" si="658"/>
        <v>283235</v>
      </c>
      <c r="W837" s="282">
        <f t="shared" si="658"/>
        <v>278035</v>
      </c>
      <c r="X837" s="282">
        <f t="shared" si="658"/>
        <v>142835</v>
      </c>
      <c r="Y837" s="282">
        <f t="shared" si="658"/>
        <v>125235</v>
      </c>
      <c r="Z837" s="508">
        <f t="shared" si="658"/>
        <v>122935</v>
      </c>
      <c r="AA837" s="551">
        <f t="shared" si="658"/>
        <v>120290</v>
      </c>
      <c r="AB837" s="282">
        <f t="shared" si="658"/>
        <v>117645</v>
      </c>
      <c r="AC837" s="134" t="s">
        <v>11</v>
      </c>
      <c r="AD837" s="69"/>
      <c r="AE837" s="69"/>
      <c r="AF837" s="69"/>
      <c r="AG837" s="69"/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  <c r="AS837" s="69"/>
      <c r="AT837" s="69"/>
    </row>
    <row r="838" spans="1:46" s="2" customFormat="1" x14ac:dyDescent="0.25">
      <c r="A838" s="119"/>
      <c r="B838" s="119"/>
      <c r="C838" s="308"/>
      <c r="D838" s="49"/>
      <c r="E838" s="49"/>
      <c r="F838" s="49"/>
      <c r="G838" s="128" t="s">
        <v>622</v>
      </c>
      <c r="H838" s="128"/>
      <c r="I838" s="128"/>
      <c r="J838" s="48"/>
      <c r="K838" s="96"/>
      <c r="L838" s="97"/>
      <c r="M838" s="97"/>
      <c r="N838" s="97"/>
      <c r="O838" s="97"/>
      <c r="P838" s="98"/>
      <c r="Q838" s="98"/>
      <c r="R838" s="98"/>
      <c r="S838" s="98"/>
      <c r="T838" s="9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  <c r="AF838" s="48"/>
      <c r="AG838" s="48"/>
      <c r="AH838" s="48"/>
      <c r="AI838" s="48"/>
      <c r="AJ838" s="48"/>
      <c r="AK838" s="48"/>
      <c r="AL838" s="48"/>
      <c r="AM838" s="48"/>
      <c r="AN838" s="48"/>
      <c r="AO838" s="48"/>
      <c r="AP838" s="48"/>
      <c r="AQ838" s="48"/>
      <c r="AR838" s="48"/>
      <c r="AS838" s="48"/>
      <c r="AT838" s="48"/>
    </row>
    <row r="839" spans="1:46" s="2" customFormat="1" x14ac:dyDescent="0.25">
      <c r="A839" s="26" t="s">
        <v>95</v>
      </c>
      <c r="B839" s="26" t="s">
        <v>96</v>
      </c>
      <c r="C839" s="306"/>
      <c r="D839" s="33" t="s">
        <v>3</v>
      </c>
      <c r="E839" s="34">
        <v>41760</v>
      </c>
      <c r="F839" s="34" t="s">
        <v>269</v>
      </c>
      <c r="G839" s="35" t="s">
        <v>365</v>
      </c>
      <c r="H839" s="35">
        <v>31139236</v>
      </c>
      <c r="I839" s="35">
        <v>582014</v>
      </c>
      <c r="J839" s="2" t="s">
        <v>1</v>
      </c>
      <c r="K839" s="27">
        <v>42600</v>
      </c>
      <c r="L839" s="4">
        <v>0</v>
      </c>
      <c r="M839" s="4">
        <v>0</v>
      </c>
      <c r="N839" s="4">
        <v>0</v>
      </c>
      <c r="O839" s="4">
        <v>7600</v>
      </c>
      <c r="P839" s="283">
        <v>5000</v>
      </c>
      <c r="Q839" s="283">
        <v>5000</v>
      </c>
      <c r="R839" s="283">
        <v>5000</v>
      </c>
      <c r="S839" s="283">
        <v>5000</v>
      </c>
      <c r="T839" s="283">
        <v>5000</v>
      </c>
      <c r="U839" s="283">
        <v>5000</v>
      </c>
      <c r="V839" s="283">
        <v>5000</v>
      </c>
      <c r="W839" s="2" t="s">
        <v>11</v>
      </c>
      <c r="Z839" s="490"/>
      <c r="AA839" s="60"/>
    </row>
    <row r="840" spans="1:46" s="2" customFormat="1" x14ac:dyDescent="0.25">
      <c r="A840" s="400" t="s">
        <v>986</v>
      </c>
      <c r="B840" s="26"/>
      <c r="C840" s="306"/>
      <c r="D840" s="33"/>
      <c r="E840" s="34" t="s">
        <v>12</v>
      </c>
      <c r="F840" s="34"/>
      <c r="G840" s="35" t="s">
        <v>684</v>
      </c>
      <c r="H840" s="35"/>
      <c r="I840" s="35"/>
      <c r="J840" s="17" t="s">
        <v>2</v>
      </c>
      <c r="K840" s="334">
        <v>3652</v>
      </c>
      <c r="L840" s="11">
        <v>0</v>
      </c>
      <c r="M840" s="11">
        <v>0</v>
      </c>
      <c r="N840" s="11">
        <v>0</v>
      </c>
      <c r="O840" s="11">
        <f>426+426</f>
        <v>852</v>
      </c>
      <c r="P840" s="142">
        <f>350+350</f>
        <v>700</v>
      </c>
      <c r="Q840" s="142">
        <f>300+300</f>
        <v>600</v>
      </c>
      <c r="R840" s="142">
        <f>250+250</f>
        <v>500</v>
      </c>
      <c r="S840" s="142">
        <f>200+200</f>
        <v>400</v>
      </c>
      <c r="T840" s="142">
        <f>150+150</f>
        <v>300</v>
      </c>
      <c r="U840" s="142">
        <f>100+100</f>
        <v>200</v>
      </c>
      <c r="V840" s="142">
        <f>50+50</f>
        <v>100</v>
      </c>
      <c r="W840" s="17" t="s">
        <v>11</v>
      </c>
      <c r="Z840" s="490"/>
      <c r="AA840" s="60"/>
    </row>
    <row r="841" spans="1:46" s="6" customFormat="1" ht="13.8" thickBot="1" x14ac:dyDescent="0.3">
      <c r="A841" s="409" t="s">
        <v>1117</v>
      </c>
      <c r="B841" s="120"/>
      <c r="C841" s="307"/>
      <c r="D841" s="85"/>
      <c r="E841" s="86" t="s">
        <v>161</v>
      </c>
      <c r="F841" s="86" t="s">
        <v>410</v>
      </c>
      <c r="G841" s="125" t="s">
        <v>847</v>
      </c>
      <c r="H841" s="125"/>
      <c r="I841" s="125"/>
      <c r="J841" s="365" t="s">
        <v>6</v>
      </c>
      <c r="K841" s="333">
        <f>K840+K839</f>
        <v>46252</v>
      </c>
      <c r="L841" s="43">
        <f>L840+L839</f>
        <v>0</v>
      </c>
      <c r="M841" s="43">
        <f t="shared" ref="M841:V841" si="659">M840+M839</f>
        <v>0</v>
      </c>
      <c r="N841" s="43">
        <f t="shared" si="659"/>
        <v>0</v>
      </c>
      <c r="O841" s="43">
        <f t="shared" si="659"/>
        <v>8452</v>
      </c>
      <c r="P841" s="43">
        <f t="shared" si="659"/>
        <v>5700</v>
      </c>
      <c r="Q841" s="43">
        <f t="shared" si="659"/>
        <v>5600</v>
      </c>
      <c r="R841" s="43">
        <f t="shared" si="659"/>
        <v>5500</v>
      </c>
      <c r="S841" s="43">
        <f t="shared" si="659"/>
        <v>5400</v>
      </c>
      <c r="T841" s="43">
        <f t="shared" si="659"/>
        <v>5300</v>
      </c>
      <c r="U841" s="43">
        <f t="shared" si="659"/>
        <v>5200</v>
      </c>
      <c r="V841" s="43">
        <f t="shared" si="659"/>
        <v>5100</v>
      </c>
      <c r="W841" s="41" t="s">
        <v>11</v>
      </c>
      <c r="X841" s="41"/>
      <c r="Y841" s="41"/>
      <c r="Z841" s="492"/>
      <c r="AA841" s="533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</row>
    <row r="842" spans="1:46" s="2" customFormat="1" x14ac:dyDescent="0.25">
      <c r="A842" s="26" t="s">
        <v>95</v>
      </c>
      <c r="B842" s="26" t="s">
        <v>97</v>
      </c>
      <c r="C842" s="306"/>
      <c r="D842" s="33" t="s">
        <v>3</v>
      </c>
      <c r="E842" s="34">
        <v>41760</v>
      </c>
      <c r="F842" s="34" t="s">
        <v>351</v>
      </c>
      <c r="G842" s="35" t="s">
        <v>485</v>
      </c>
      <c r="H842" s="35">
        <v>31300250</v>
      </c>
      <c r="I842" s="35">
        <v>582002</v>
      </c>
      <c r="J842" s="2" t="s">
        <v>1</v>
      </c>
      <c r="K842" s="27">
        <v>24449</v>
      </c>
      <c r="L842" s="4">
        <v>0</v>
      </c>
      <c r="M842" s="4">
        <v>0</v>
      </c>
      <c r="N842" s="4">
        <v>0</v>
      </c>
      <c r="O842" s="4">
        <v>9449</v>
      </c>
      <c r="P842" s="283">
        <v>5000</v>
      </c>
      <c r="Q842" s="283">
        <v>5000</v>
      </c>
      <c r="R842" s="283">
        <v>5000</v>
      </c>
      <c r="S842" s="2" t="s">
        <v>11</v>
      </c>
      <c r="T842" s="283"/>
      <c r="U842" s="283"/>
      <c r="Z842" s="490"/>
      <c r="AA842" s="60"/>
    </row>
    <row r="843" spans="1:46" s="2" customFormat="1" x14ac:dyDescent="0.25">
      <c r="A843" s="26"/>
      <c r="B843" s="26"/>
      <c r="C843" s="306"/>
      <c r="D843" s="33"/>
      <c r="E843" s="34" t="s">
        <v>13</v>
      </c>
      <c r="F843" s="34" t="s">
        <v>355</v>
      </c>
      <c r="G843" s="35" t="s">
        <v>749</v>
      </c>
      <c r="H843" s="35"/>
      <c r="I843" s="35"/>
      <c r="J843" s="17" t="s">
        <v>2</v>
      </c>
      <c r="K843" s="28">
        <v>1088.98</v>
      </c>
      <c r="L843" s="11">
        <v>0</v>
      </c>
      <c r="M843" s="11">
        <v>0</v>
      </c>
      <c r="N843" s="11">
        <v>0</v>
      </c>
      <c r="O843" s="11">
        <f>244.49+244.49</f>
        <v>488.98</v>
      </c>
      <c r="P843" s="142">
        <f>150+150</f>
        <v>300</v>
      </c>
      <c r="Q843" s="142">
        <f>100+100</f>
        <v>200</v>
      </c>
      <c r="R843" s="142">
        <f>50+50</f>
        <v>100</v>
      </c>
      <c r="S843" s="17" t="s">
        <v>11</v>
      </c>
      <c r="T843" s="142"/>
      <c r="U843" s="142"/>
      <c r="V843" s="17"/>
      <c r="W843" s="17"/>
      <c r="X843" s="17"/>
      <c r="Y843" s="17"/>
      <c r="Z843" s="491"/>
      <c r="AA843" s="532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</row>
    <row r="844" spans="1:46" s="6" customFormat="1" ht="13.8" thickBot="1" x14ac:dyDescent="0.3">
      <c r="A844" s="120"/>
      <c r="B844" s="120"/>
      <c r="C844" s="307"/>
      <c r="D844" s="85"/>
      <c r="E844" s="86" t="s">
        <v>161</v>
      </c>
      <c r="F844" s="86" t="s">
        <v>410</v>
      </c>
      <c r="G844" s="125" t="s">
        <v>750</v>
      </c>
      <c r="H844" s="125"/>
      <c r="I844" s="125"/>
      <c r="J844" s="41" t="s">
        <v>6</v>
      </c>
      <c r="K844" s="333">
        <f>K843+K842</f>
        <v>25537.98</v>
      </c>
      <c r="L844" s="43">
        <f>L843+L842</f>
        <v>0</v>
      </c>
      <c r="M844" s="43">
        <f t="shared" ref="M844:R844" si="660">M843+M842</f>
        <v>0</v>
      </c>
      <c r="N844" s="43">
        <f t="shared" si="660"/>
        <v>0</v>
      </c>
      <c r="O844" s="43">
        <f t="shared" si="660"/>
        <v>9937.98</v>
      </c>
      <c r="P844" s="43">
        <f t="shared" si="660"/>
        <v>5300</v>
      </c>
      <c r="Q844" s="43">
        <f t="shared" si="660"/>
        <v>5200</v>
      </c>
      <c r="R844" s="43">
        <f t="shared" si="660"/>
        <v>5100</v>
      </c>
      <c r="S844" s="41" t="s">
        <v>11</v>
      </c>
      <c r="T844" s="43"/>
      <c r="U844" s="43"/>
      <c r="V844" s="41"/>
      <c r="W844" s="41"/>
      <c r="X844" s="41"/>
      <c r="Y844" s="41"/>
      <c r="Z844" s="492"/>
      <c r="AA844" s="533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</row>
    <row r="845" spans="1:46" s="2" customFormat="1" x14ac:dyDescent="0.25">
      <c r="A845" s="26" t="s">
        <v>101</v>
      </c>
      <c r="B845" s="26" t="s">
        <v>96</v>
      </c>
      <c r="C845" s="306"/>
      <c r="D845" s="33" t="s">
        <v>3</v>
      </c>
      <c r="E845" s="34">
        <v>41760</v>
      </c>
      <c r="F845" s="34" t="s">
        <v>346</v>
      </c>
      <c r="G845" s="35" t="s">
        <v>508</v>
      </c>
      <c r="H845" s="35">
        <v>31220254</v>
      </c>
      <c r="I845" s="35">
        <v>584016</v>
      </c>
      <c r="J845" s="2" t="s">
        <v>1</v>
      </c>
      <c r="K845" s="337">
        <v>48000</v>
      </c>
      <c r="L845" s="4">
        <v>0</v>
      </c>
      <c r="M845" s="4">
        <v>0</v>
      </c>
      <c r="N845" s="4">
        <v>0</v>
      </c>
      <c r="O845" s="4">
        <v>8000</v>
      </c>
      <c r="P845" s="283">
        <v>5000</v>
      </c>
      <c r="Q845" s="283">
        <v>5000</v>
      </c>
      <c r="R845" s="283">
        <v>5000</v>
      </c>
      <c r="S845" s="283">
        <v>5000</v>
      </c>
      <c r="T845" s="283">
        <v>5000</v>
      </c>
      <c r="U845" s="283">
        <v>5000</v>
      </c>
      <c r="V845" s="283">
        <v>5000</v>
      </c>
      <c r="W845" s="283">
        <v>5000</v>
      </c>
      <c r="X845" s="2" t="s">
        <v>11</v>
      </c>
      <c r="Z845" s="490"/>
      <c r="AA845" s="60"/>
    </row>
    <row r="846" spans="1:46" s="2" customFormat="1" x14ac:dyDescent="0.25">
      <c r="A846" s="400" t="s">
        <v>987</v>
      </c>
      <c r="B846" s="26"/>
      <c r="C846" s="306"/>
      <c r="D846" s="33"/>
      <c r="E846" s="34" t="s">
        <v>12</v>
      </c>
      <c r="F846" s="34"/>
      <c r="G846" s="35" t="s">
        <v>509</v>
      </c>
      <c r="H846" s="35"/>
      <c r="I846" s="35"/>
      <c r="J846" s="17" t="s">
        <v>2</v>
      </c>
      <c r="K846" s="335">
        <v>4560</v>
      </c>
      <c r="L846" s="11">
        <v>0</v>
      </c>
      <c r="M846" s="11">
        <v>0</v>
      </c>
      <c r="N846" s="11">
        <v>0</v>
      </c>
      <c r="O846" s="11">
        <f>480+480</f>
        <v>960</v>
      </c>
      <c r="P846" s="142">
        <f>400+400</f>
        <v>800</v>
      </c>
      <c r="Q846" s="142">
        <f>350+350</f>
        <v>700</v>
      </c>
      <c r="R846" s="142">
        <f>300+300</f>
        <v>600</v>
      </c>
      <c r="S846" s="142">
        <f>250+250</f>
        <v>500</v>
      </c>
      <c r="T846" s="142">
        <f>200+200</f>
        <v>400</v>
      </c>
      <c r="U846" s="142">
        <f>150+150</f>
        <v>300</v>
      </c>
      <c r="V846" s="142">
        <f>100+100</f>
        <v>200</v>
      </c>
      <c r="W846" s="142">
        <f>50+50</f>
        <v>100</v>
      </c>
      <c r="X846" s="17" t="s">
        <v>11</v>
      </c>
      <c r="Y846" s="17"/>
      <c r="Z846" s="491"/>
      <c r="AA846" s="532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</row>
    <row r="847" spans="1:46" s="6" customFormat="1" ht="13.8" thickBot="1" x14ac:dyDescent="0.3">
      <c r="A847" s="409" t="s">
        <v>1117</v>
      </c>
      <c r="B847" s="120"/>
      <c r="C847" s="307"/>
      <c r="D847" s="85"/>
      <c r="E847" s="86" t="s">
        <v>40</v>
      </c>
      <c r="F847" s="86" t="s">
        <v>410</v>
      </c>
      <c r="G847" s="125" t="s">
        <v>625</v>
      </c>
      <c r="H847" s="125"/>
      <c r="I847" s="125"/>
      <c r="J847" s="365" t="s">
        <v>6</v>
      </c>
      <c r="K847" s="336">
        <f>SUM(K845:K846)</f>
        <v>52560</v>
      </c>
      <c r="L847" s="43">
        <f>L846+L845</f>
        <v>0</v>
      </c>
      <c r="M847" s="43">
        <f t="shared" ref="M847:W847" si="661">M846+M845</f>
        <v>0</v>
      </c>
      <c r="N847" s="43">
        <f t="shared" si="661"/>
        <v>0</v>
      </c>
      <c r="O847" s="43">
        <f t="shared" si="661"/>
        <v>8960</v>
      </c>
      <c r="P847" s="43">
        <f t="shared" si="661"/>
        <v>5800</v>
      </c>
      <c r="Q847" s="43">
        <f t="shared" si="661"/>
        <v>5700</v>
      </c>
      <c r="R847" s="43">
        <f t="shared" si="661"/>
        <v>5600</v>
      </c>
      <c r="S847" s="43">
        <f t="shared" si="661"/>
        <v>5500</v>
      </c>
      <c r="T847" s="43">
        <f t="shared" si="661"/>
        <v>5400</v>
      </c>
      <c r="U847" s="43">
        <f t="shared" si="661"/>
        <v>5300</v>
      </c>
      <c r="V847" s="43">
        <f t="shared" si="661"/>
        <v>5200</v>
      </c>
      <c r="W847" s="43">
        <f t="shared" si="661"/>
        <v>5100</v>
      </c>
      <c r="X847" s="41" t="s">
        <v>11</v>
      </c>
      <c r="Y847" s="41"/>
      <c r="Z847" s="492"/>
      <c r="AA847" s="533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</row>
    <row r="848" spans="1:46" s="2" customFormat="1" x14ac:dyDescent="0.25">
      <c r="A848" s="26" t="s">
        <v>95</v>
      </c>
      <c r="B848" s="26" t="s">
        <v>97</v>
      </c>
      <c r="C848" s="306"/>
      <c r="D848" s="33" t="s">
        <v>3</v>
      </c>
      <c r="E848" s="34">
        <v>41760</v>
      </c>
      <c r="F848" s="34" t="s">
        <v>269</v>
      </c>
      <c r="G848" s="322" t="s">
        <v>510</v>
      </c>
      <c r="H848" s="322">
        <v>31300253</v>
      </c>
      <c r="I848" s="322">
        <v>582002</v>
      </c>
      <c r="J848" s="2" t="s">
        <v>1</v>
      </c>
      <c r="K848" s="338">
        <v>2876400</v>
      </c>
      <c r="L848" s="5"/>
      <c r="M848" s="4">
        <v>0</v>
      </c>
      <c r="N848" s="4">
        <v>0</v>
      </c>
      <c r="O848" s="4">
        <v>116400</v>
      </c>
      <c r="P848" s="283">
        <v>120000</v>
      </c>
      <c r="Q848" s="283">
        <v>120000</v>
      </c>
      <c r="R848" s="283">
        <v>120000</v>
      </c>
      <c r="S848" s="283">
        <v>125000</v>
      </c>
      <c r="T848" s="283">
        <v>125000</v>
      </c>
      <c r="U848" s="283">
        <v>130000</v>
      </c>
      <c r="V848" s="283">
        <v>135000</v>
      </c>
      <c r="W848" s="283">
        <v>135000</v>
      </c>
      <c r="X848" s="283">
        <v>140000</v>
      </c>
      <c r="Y848" s="283">
        <v>140000</v>
      </c>
      <c r="Z848" s="497">
        <v>145000</v>
      </c>
      <c r="AA848" s="536">
        <v>150000</v>
      </c>
      <c r="AB848" s="5">
        <v>155000</v>
      </c>
      <c r="AC848" s="5">
        <v>155000</v>
      </c>
      <c r="AD848" s="5">
        <v>160000</v>
      </c>
      <c r="AE848" s="5">
        <v>165000</v>
      </c>
      <c r="AF848" s="5">
        <v>175000</v>
      </c>
      <c r="AG848" s="5">
        <v>180000</v>
      </c>
      <c r="AH848" s="5">
        <v>185000</v>
      </c>
      <c r="AI848" s="2" t="s">
        <v>11</v>
      </c>
    </row>
    <row r="849" spans="1:46" s="2" customFormat="1" x14ac:dyDescent="0.25">
      <c r="A849" s="400" t="s">
        <v>988</v>
      </c>
      <c r="B849" s="26"/>
      <c r="C849" s="306"/>
      <c r="D849" s="33"/>
      <c r="E849" s="317" t="s">
        <v>13</v>
      </c>
      <c r="F849" s="34" t="s">
        <v>355</v>
      </c>
      <c r="G849" s="35" t="s">
        <v>790</v>
      </c>
      <c r="H849" s="35"/>
      <c r="I849" s="35"/>
      <c r="J849" s="17" t="s">
        <v>2</v>
      </c>
      <c r="K849" s="334">
        <v>935283</v>
      </c>
      <c r="L849" s="21"/>
      <c r="M849" s="11">
        <v>0</v>
      </c>
      <c r="N849" s="11">
        <v>0</v>
      </c>
      <c r="O849" s="11">
        <f>37541.5+37541.5</f>
        <v>75083</v>
      </c>
      <c r="P849" s="142">
        <f>36377.5+36377.5</f>
        <v>72755</v>
      </c>
      <c r="Q849" s="142">
        <f>35177.5+35177.5</f>
        <v>70355</v>
      </c>
      <c r="R849" s="142">
        <f>33977.5+33977.5</f>
        <v>67955</v>
      </c>
      <c r="S849" s="142">
        <f>32777.5+32777.5</f>
        <v>65555</v>
      </c>
      <c r="T849" s="142">
        <f>31527.5+31527.5</f>
        <v>63055</v>
      </c>
      <c r="U849" s="142">
        <f>30277.5+30277.5</f>
        <v>60555</v>
      </c>
      <c r="V849" s="142">
        <f>28977.5+28977.5</f>
        <v>57955</v>
      </c>
      <c r="W849" s="142">
        <f>27627.5+27627.5</f>
        <v>55255</v>
      </c>
      <c r="X849" s="142">
        <f>26277.5+26277.5</f>
        <v>52555</v>
      </c>
      <c r="Y849" s="142">
        <f>24702.5+24702.5</f>
        <v>49405</v>
      </c>
      <c r="Z849" s="500">
        <f>22742.5+22742.5</f>
        <v>45485</v>
      </c>
      <c r="AA849" s="539">
        <f>20712.5+20712.5</f>
        <v>41425</v>
      </c>
      <c r="AB849" s="21">
        <f>18612.5+18612.5</f>
        <v>37225</v>
      </c>
      <c r="AC849" s="21">
        <f>16442.5+16442.5</f>
        <v>32885</v>
      </c>
      <c r="AD849" s="21">
        <f>14272.5+14272.5</f>
        <v>28545</v>
      </c>
      <c r="AE849" s="21">
        <f>11632.5+11632.5</f>
        <v>23265</v>
      </c>
      <c r="AF849" s="21">
        <f>8910+8910</f>
        <v>17820</v>
      </c>
      <c r="AG849" s="21">
        <f>6022.5+6022.5</f>
        <v>12045</v>
      </c>
      <c r="AH849" s="21">
        <f>3052.5+3052.5</f>
        <v>6105</v>
      </c>
      <c r="AI849" s="17" t="s">
        <v>11</v>
      </c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</row>
    <row r="850" spans="1:46" s="6" customFormat="1" ht="13.8" thickBot="1" x14ac:dyDescent="0.3">
      <c r="A850" s="409" t="s">
        <v>1123</v>
      </c>
      <c r="B850" s="120"/>
      <c r="C850" s="307"/>
      <c r="D850" s="85"/>
      <c r="E850" s="86" t="s">
        <v>161</v>
      </c>
      <c r="F850" s="86" t="s">
        <v>408</v>
      </c>
      <c r="G850" s="125" t="s">
        <v>753</v>
      </c>
      <c r="H850" s="125"/>
      <c r="I850" s="125"/>
      <c r="J850" s="365" t="s">
        <v>6</v>
      </c>
      <c r="K850" s="333">
        <f>K849+K848</f>
        <v>3811683</v>
      </c>
      <c r="L850" s="43">
        <f t="shared" ref="L850:AH850" si="662">L849+L848</f>
        <v>0</v>
      </c>
      <c r="M850" s="43">
        <f t="shared" si="662"/>
        <v>0</v>
      </c>
      <c r="N850" s="43">
        <f t="shared" si="662"/>
        <v>0</v>
      </c>
      <c r="O850" s="43">
        <f t="shared" si="662"/>
        <v>191483</v>
      </c>
      <c r="P850" s="43">
        <f t="shared" si="662"/>
        <v>192755</v>
      </c>
      <c r="Q850" s="43">
        <f t="shared" si="662"/>
        <v>190355</v>
      </c>
      <c r="R850" s="43">
        <f t="shared" si="662"/>
        <v>187955</v>
      </c>
      <c r="S850" s="43">
        <f t="shared" si="662"/>
        <v>190555</v>
      </c>
      <c r="T850" s="43">
        <f t="shared" si="662"/>
        <v>188055</v>
      </c>
      <c r="U850" s="43">
        <f t="shared" si="662"/>
        <v>190555</v>
      </c>
      <c r="V850" s="43">
        <f t="shared" si="662"/>
        <v>192955</v>
      </c>
      <c r="W850" s="43">
        <f t="shared" si="662"/>
        <v>190255</v>
      </c>
      <c r="X850" s="43">
        <f t="shared" si="662"/>
        <v>192555</v>
      </c>
      <c r="Y850" s="43">
        <f t="shared" si="662"/>
        <v>189405</v>
      </c>
      <c r="Z850" s="499">
        <f t="shared" si="662"/>
        <v>190485</v>
      </c>
      <c r="AA850" s="538">
        <f t="shared" si="662"/>
        <v>191425</v>
      </c>
      <c r="AB850" s="43">
        <f t="shared" si="662"/>
        <v>192225</v>
      </c>
      <c r="AC850" s="43">
        <f t="shared" si="662"/>
        <v>187885</v>
      </c>
      <c r="AD850" s="43">
        <f t="shared" si="662"/>
        <v>188545</v>
      </c>
      <c r="AE850" s="43">
        <f t="shared" si="662"/>
        <v>188265</v>
      </c>
      <c r="AF850" s="43">
        <f t="shared" si="662"/>
        <v>192820</v>
      </c>
      <c r="AG850" s="43">
        <f t="shared" si="662"/>
        <v>192045</v>
      </c>
      <c r="AH850" s="43">
        <f t="shared" si="662"/>
        <v>191105</v>
      </c>
      <c r="AI850" s="41" t="s">
        <v>11</v>
      </c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</row>
    <row r="851" spans="1:46" s="2" customFormat="1" x14ac:dyDescent="0.25">
      <c r="A851" s="26" t="s">
        <v>102</v>
      </c>
      <c r="B851" s="26" t="s">
        <v>96</v>
      </c>
      <c r="C851" s="306"/>
      <c r="D851" s="33" t="s">
        <v>3</v>
      </c>
      <c r="E851" s="34">
        <v>41760</v>
      </c>
      <c r="F851" s="34" t="s">
        <v>258</v>
      </c>
      <c r="G851" s="35" t="s">
        <v>626</v>
      </c>
      <c r="H851" s="35">
        <v>31511257</v>
      </c>
      <c r="I851" s="35">
        <v>585100</v>
      </c>
      <c r="J851" s="2" t="s">
        <v>1</v>
      </c>
      <c r="K851" s="27">
        <v>28475</v>
      </c>
      <c r="L851" s="4">
        <v>0</v>
      </c>
      <c r="M851" s="4">
        <v>0</v>
      </c>
      <c r="N851" s="4">
        <v>0</v>
      </c>
      <c r="O851" s="4">
        <v>8475</v>
      </c>
      <c r="P851" s="283">
        <v>5000</v>
      </c>
      <c r="Q851" s="283">
        <v>5000</v>
      </c>
      <c r="R851" s="283">
        <v>5000</v>
      </c>
      <c r="S851" s="283">
        <v>5000</v>
      </c>
      <c r="T851" s="2" t="s">
        <v>11</v>
      </c>
      <c r="U851" s="283"/>
      <c r="Z851" s="490"/>
      <c r="AA851" s="60"/>
    </row>
    <row r="852" spans="1:46" s="2" customFormat="1" x14ac:dyDescent="0.25">
      <c r="A852" s="26"/>
      <c r="B852" s="26"/>
      <c r="C852" s="306"/>
      <c r="D852" s="33"/>
      <c r="E852" s="34" t="s">
        <v>12</v>
      </c>
      <c r="F852" s="34"/>
      <c r="G852" s="35" t="s">
        <v>628</v>
      </c>
      <c r="H852" s="35"/>
      <c r="I852" s="35"/>
      <c r="J852" s="17" t="s">
        <v>2</v>
      </c>
      <c r="K852" s="28">
        <v>1569.5</v>
      </c>
      <c r="L852" s="11">
        <v>0</v>
      </c>
      <c r="M852" s="11">
        <v>0</v>
      </c>
      <c r="N852" s="11">
        <v>0</v>
      </c>
      <c r="O852" s="11">
        <f>284.75+284.75</f>
        <v>569.5</v>
      </c>
      <c r="P852" s="142">
        <f>200+200</f>
        <v>400</v>
      </c>
      <c r="Q852" s="142">
        <f>150+150</f>
        <v>300</v>
      </c>
      <c r="R852" s="142">
        <f>100+100</f>
        <v>200</v>
      </c>
      <c r="S852" s="142">
        <f>50+50</f>
        <v>100</v>
      </c>
      <c r="T852" s="17" t="s">
        <v>11</v>
      </c>
      <c r="U852" s="142"/>
      <c r="V852" s="17"/>
      <c r="W852" s="17"/>
      <c r="X852" s="17"/>
      <c r="Y852" s="17"/>
      <c r="Z852" s="491"/>
      <c r="AA852" s="532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</row>
    <row r="853" spans="1:46" s="6" customFormat="1" ht="13.8" thickBot="1" x14ac:dyDescent="0.3">
      <c r="A853" s="120"/>
      <c r="B853" s="120"/>
      <c r="C853" s="307"/>
      <c r="D853" s="85"/>
      <c r="E853" s="86" t="s">
        <v>160</v>
      </c>
      <c r="F853" s="86" t="s">
        <v>410</v>
      </c>
      <c r="G853" s="125" t="s">
        <v>627</v>
      </c>
      <c r="H853" s="125"/>
      <c r="I853" s="125"/>
      <c r="J853" s="365" t="s">
        <v>6</v>
      </c>
      <c r="K853" s="330">
        <f>K852+K851</f>
        <v>30044.5</v>
      </c>
      <c r="L853" s="43">
        <f>L852+L851</f>
        <v>0</v>
      </c>
      <c r="M853" s="43">
        <f t="shared" ref="M853:S853" si="663">M852+M851</f>
        <v>0</v>
      </c>
      <c r="N853" s="43">
        <f t="shared" si="663"/>
        <v>0</v>
      </c>
      <c r="O853" s="43">
        <f t="shared" si="663"/>
        <v>9044.5</v>
      </c>
      <c r="P853" s="43">
        <f t="shared" si="663"/>
        <v>5400</v>
      </c>
      <c r="Q853" s="43">
        <f t="shared" si="663"/>
        <v>5300</v>
      </c>
      <c r="R853" s="43">
        <f t="shared" si="663"/>
        <v>5200</v>
      </c>
      <c r="S853" s="43">
        <f t="shared" si="663"/>
        <v>5100</v>
      </c>
      <c r="T853" s="41" t="s">
        <v>11</v>
      </c>
      <c r="U853" s="43"/>
      <c r="V853" s="41"/>
      <c r="W853" s="41"/>
      <c r="X853" s="41"/>
      <c r="Y853" s="41"/>
      <c r="Z853" s="492"/>
      <c r="AA853" s="533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</row>
    <row r="854" spans="1:46" s="2" customFormat="1" x14ac:dyDescent="0.25">
      <c r="A854" s="26" t="s">
        <v>99</v>
      </c>
      <c r="B854" s="26" t="s">
        <v>96</v>
      </c>
      <c r="C854" s="306"/>
      <c r="D854" s="33" t="s">
        <v>3</v>
      </c>
      <c r="E854" s="34">
        <v>41760</v>
      </c>
      <c r="F854" s="34" t="s">
        <v>351</v>
      </c>
      <c r="G854" s="35" t="s">
        <v>629</v>
      </c>
      <c r="H854" s="35">
        <v>31122258</v>
      </c>
      <c r="I854" s="35">
        <v>529008</v>
      </c>
      <c r="J854" s="2" t="s">
        <v>1</v>
      </c>
      <c r="K854" s="338">
        <v>170000</v>
      </c>
      <c r="L854" s="4">
        <v>0</v>
      </c>
      <c r="M854" s="4">
        <v>0</v>
      </c>
      <c r="N854" s="4">
        <v>0</v>
      </c>
      <c r="O854" s="4">
        <v>35000</v>
      </c>
      <c r="P854" s="283">
        <v>35000</v>
      </c>
      <c r="Q854" s="283">
        <v>35000</v>
      </c>
      <c r="R854" s="283">
        <v>35000</v>
      </c>
      <c r="S854" s="283">
        <v>30000</v>
      </c>
      <c r="T854" s="2" t="s">
        <v>11</v>
      </c>
      <c r="U854" s="283"/>
      <c r="Z854" s="490"/>
      <c r="AA854" s="60"/>
    </row>
    <row r="855" spans="1:46" s="2" customFormat="1" x14ac:dyDescent="0.25">
      <c r="A855" s="26"/>
      <c r="B855" s="26"/>
      <c r="C855" s="306"/>
      <c r="D855" s="33"/>
      <c r="E855" s="34" t="s">
        <v>12</v>
      </c>
      <c r="F855" s="34"/>
      <c r="G855" s="35" t="s">
        <v>630</v>
      </c>
      <c r="H855" s="35"/>
      <c r="I855" s="35"/>
      <c r="J855" s="17" t="s">
        <v>2</v>
      </c>
      <c r="K855" s="334">
        <v>10000</v>
      </c>
      <c r="L855" s="11">
        <v>0</v>
      </c>
      <c r="M855" s="11">
        <v>0</v>
      </c>
      <c r="N855" s="11">
        <v>0</v>
      </c>
      <c r="O855" s="11">
        <f>1700+1700</f>
        <v>3400</v>
      </c>
      <c r="P855" s="142">
        <f>1350+1350</f>
        <v>2700</v>
      </c>
      <c r="Q855" s="142">
        <f>1000+1000</f>
        <v>2000</v>
      </c>
      <c r="R855" s="142">
        <f>650+650</f>
        <v>1300</v>
      </c>
      <c r="S855" s="142">
        <f>300+300</f>
        <v>600</v>
      </c>
      <c r="T855" s="17" t="s">
        <v>11</v>
      </c>
      <c r="U855" s="142"/>
      <c r="V855" s="17"/>
      <c r="W855" s="17"/>
      <c r="X855" s="17"/>
      <c r="Y855" s="17"/>
      <c r="Z855" s="491"/>
      <c r="AA855" s="532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</row>
    <row r="856" spans="1:46" s="6" customFormat="1" ht="13.8" thickBot="1" x14ac:dyDescent="0.3">
      <c r="A856" s="120"/>
      <c r="B856" s="120"/>
      <c r="C856" s="307"/>
      <c r="D856" s="85"/>
      <c r="E856" s="86" t="s">
        <v>15</v>
      </c>
      <c r="F856" s="86" t="s">
        <v>410</v>
      </c>
      <c r="G856" s="141"/>
      <c r="H856" s="125"/>
      <c r="I856" s="125"/>
      <c r="J856" s="365" t="s">
        <v>6</v>
      </c>
      <c r="K856" s="333">
        <f>K855+K854</f>
        <v>180000</v>
      </c>
      <c r="L856" s="43">
        <f>L855+L854</f>
        <v>0</v>
      </c>
      <c r="M856" s="43">
        <f t="shared" ref="M856:S856" si="664">M855+M854</f>
        <v>0</v>
      </c>
      <c r="N856" s="43">
        <f t="shared" si="664"/>
        <v>0</v>
      </c>
      <c r="O856" s="43">
        <f t="shared" si="664"/>
        <v>38400</v>
      </c>
      <c r="P856" s="43">
        <f t="shared" si="664"/>
        <v>37700</v>
      </c>
      <c r="Q856" s="43">
        <f t="shared" si="664"/>
        <v>37000</v>
      </c>
      <c r="R856" s="43">
        <f t="shared" si="664"/>
        <v>36300</v>
      </c>
      <c r="S856" s="43">
        <f t="shared" si="664"/>
        <v>30600</v>
      </c>
      <c r="T856" s="41" t="s">
        <v>11</v>
      </c>
      <c r="U856" s="43"/>
      <c r="V856" s="41"/>
      <c r="W856" s="41"/>
      <c r="X856" s="41"/>
      <c r="Y856" s="41"/>
      <c r="Z856" s="492"/>
      <c r="AA856" s="533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</row>
    <row r="857" spans="1:46" s="2" customFormat="1" x14ac:dyDescent="0.25">
      <c r="A857" s="26" t="s">
        <v>102</v>
      </c>
      <c r="B857" s="26" t="s">
        <v>96</v>
      </c>
      <c r="C857" s="306"/>
      <c r="D857" s="33" t="s">
        <v>3</v>
      </c>
      <c r="E857" s="34">
        <v>41760</v>
      </c>
      <c r="F857" s="34" t="s">
        <v>258</v>
      </c>
      <c r="G857" s="35" t="s">
        <v>943</v>
      </c>
      <c r="H857" s="35">
        <v>31422256</v>
      </c>
      <c r="I857" s="35">
        <v>584007</v>
      </c>
      <c r="J857" s="2" t="s">
        <v>1</v>
      </c>
      <c r="K857" s="338">
        <v>45000</v>
      </c>
      <c r="L857" s="4">
        <v>0</v>
      </c>
      <c r="M857" s="4">
        <v>0</v>
      </c>
      <c r="N857" s="4">
        <v>0</v>
      </c>
      <c r="O857" s="4">
        <v>10000</v>
      </c>
      <c r="P857" s="283">
        <v>10000</v>
      </c>
      <c r="Q857" s="283">
        <v>10000</v>
      </c>
      <c r="R857" s="283">
        <v>10000</v>
      </c>
      <c r="S857" s="283">
        <v>5000</v>
      </c>
      <c r="T857" s="2" t="s">
        <v>11</v>
      </c>
      <c r="U857" s="283"/>
      <c r="Z857" s="490"/>
      <c r="AA857" s="60"/>
    </row>
    <row r="858" spans="1:46" s="2" customFormat="1" x14ac:dyDescent="0.25">
      <c r="A858" s="26"/>
      <c r="B858" s="26"/>
      <c r="C858" s="306"/>
      <c r="D858" s="33"/>
      <c r="E858" s="34" t="s">
        <v>12</v>
      </c>
      <c r="F858" s="34"/>
      <c r="G858" s="35" t="s">
        <v>631</v>
      </c>
      <c r="H858" s="35"/>
      <c r="I858" s="35"/>
      <c r="J858" s="17" t="s">
        <v>2</v>
      </c>
      <c r="K858" s="334">
        <v>2500</v>
      </c>
      <c r="L858" s="11">
        <v>0</v>
      </c>
      <c r="M858" s="11">
        <v>0</v>
      </c>
      <c r="N858" s="11">
        <v>0</v>
      </c>
      <c r="O858" s="11">
        <f>450+450</f>
        <v>900</v>
      </c>
      <c r="P858" s="142">
        <f>350+350</f>
        <v>700</v>
      </c>
      <c r="Q858" s="142">
        <f>250+250</f>
        <v>500</v>
      </c>
      <c r="R858" s="142">
        <f>150+150</f>
        <v>300</v>
      </c>
      <c r="S858" s="142">
        <f>50+50</f>
        <v>100</v>
      </c>
      <c r="T858" s="17" t="s">
        <v>11</v>
      </c>
      <c r="U858" s="142"/>
      <c r="V858" s="17"/>
      <c r="W858" s="17"/>
      <c r="X858" s="17"/>
      <c r="Y858" s="17"/>
      <c r="Z858" s="491"/>
      <c r="AA858" s="532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</row>
    <row r="859" spans="1:46" s="6" customFormat="1" ht="13.8" thickBot="1" x14ac:dyDescent="0.3">
      <c r="A859" s="120"/>
      <c r="B859" s="120"/>
      <c r="C859" s="307"/>
      <c r="D859" s="85"/>
      <c r="E859" s="86" t="s">
        <v>160</v>
      </c>
      <c r="F859" s="86" t="s">
        <v>410</v>
      </c>
      <c r="G859" s="141"/>
      <c r="H859" s="125"/>
      <c r="I859" s="125"/>
      <c r="J859" s="365" t="s">
        <v>6</v>
      </c>
      <c r="K859" s="333">
        <f>K858+K857</f>
        <v>47500</v>
      </c>
      <c r="L859" s="43">
        <f>L858+L857</f>
        <v>0</v>
      </c>
      <c r="M859" s="43">
        <f t="shared" ref="M859:S859" si="665">M858+M857</f>
        <v>0</v>
      </c>
      <c r="N859" s="43">
        <f t="shared" si="665"/>
        <v>0</v>
      </c>
      <c r="O859" s="43">
        <f t="shared" si="665"/>
        <v>10900</v>
      </c>
      <c r="P859" s="43">
        <f t="shared" si="665"/>
        <v>10700</v>
      </c>
      <c r="Q859" s="43">
        <f t="shared" si="665"/>
        <v>10500</v>
      </c>
      <c r="R859" s="43">
        <f t="shared" si="665"/>
        <v>10300</v>
      </c>
      <c r="S859" s="43">
        <f t="shared" si="665"/>
        <v>5100</v>
      </c>
      <c r="T859" s="41" t="s">
        <v>11</v>
      </c>
      <c r="U859" s="43"/>
      <c r="V859" s="41"/>
      <c r="W859" s="41"/>
      <c r="X859" s="41"/>
      <c r="Y859" s="41"/>
      <c r="Z859" s="492"/>
      <c r="AA859" s="533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</row>
    <row r="860" spans="1:46" s="2" customFormat="1" x14ac:dyDescent="0.25">
      <c r="A860" s="26" t="s">
        <v>95</v>
      </c>
      <c r="B860" s="26" t="s">
        <v>96</v>
      </c>
      <c r="C860" s="306"/>
      <c r="D860" s="33" t="s">
        <v>3</v>
      </c>
      <c r="E860" s="34">
        <v>41760</v>
      </c>
      <c r="F860" s="34" t="s">
        <v>346</v>
      </c>
      <c r="G860" s="318" t="s">
        <v>632</v>
      </c>
      <c r="H860" s="318">
        <v>31300256</v>
      </c>
      <c r="I860" s="318">
        <v>584016</v>
      </c>
      <c r="J860" s="2" t="s">
        <v>1</v>
      </c>
      <c r="K860" s="338">
        <v>120000</v>
      </c>
      <c r="L860" s="4">
        <v>0</v>
      </c>
      <c r="M860" s="4">
        <v>0</v>
      </c>
      <c r="N860" s="4">
        <v>0</v>
      </c>
      <c r="O860" s="4">
        <v>15000</v>
      </c>
      <c r="P860" s="283">
        <v>15000</v>
      </c>
      <c r="Q860" s="283">
        <v>15000</v>
      </c>
      <c r="R860" s="283">
        <v>15000</v>
      </c>
      <c r="S860" s="283">
        <v>10000</v>
      </c>
      <c r="T860" s="283">
        <v>10000</v>
      </c>
      <c r="U860" s="283">
        <v>10000</v>
      </c>
      <c r="V860" s="283">
        <v>10000</v>
      </c>
      <c r="W860" s="283">
        <v>10000</v>
      </c>
      <c r="X860" s="283">
        <v>10000</v>
      </c>
      <c r="Y860" s="2" t="s">
        <v>11</v>
      </c>
      <c r="Z860" s="490"/>
      <c r="AA860" s="60"/>
    </row>
    <row r="861" spans="1:46" s="2" customFormat="1" x14ac:dyDescent="0.25">
      <c r="A861" s="400" t="s">
        <v>989</v>
      </c>
      <c r="B861" s="26"/>
      <c r="C861" s="306"/>
      <c r="D861" s="33"/>
      <c r="E861" s="34" t="s">
        <v>12</v>
      </c>
      <c r="F861" s="34"/>
      <c r="G861" s="35" t="s">
        <v>633</v>
      </c>
      <c r="H861" s="35"/>
      <c r="I861" s="35"/>
      <c r="J861" s="17" t="s">
        <v>2</v>
      </c>
      <c r="K861" s="334">
        <v>12250</v>
      </c>
      <c r="L861" s="11">
        <v>0</v>
      </c>
      <c r="M861" s="11">
        <v>0</v>
      </c>
      <c r="N861" s="11">
        <v>0</v>
      </c>
      <c r="O861" s="11">
        <f>1212.5+1212.5</f>
        <v>2425</v>
      </c>
      <c r="P861" s="142">
        <f>1062.5+1062.5</f>
        <v>2125</v>
      </c>
      <c r="Q861" s="142">
        <f>912.5+912.5</f>
        <v>1825</v>
      </c>
      <c r="R861" s="142">
        <f>762.5+762.5</f>
        <v>1525</v>
      </c>
      <c r="S861" s="142">
        <f>612.5+612.5</f>
        <v>1225</v>
      </c>
      <c r="T861" s="142">
        <f>512.5+512.5</f>
        <v>1025</v>
      </c>
      <c r="U861" s="142">
        <f>412.5+412.5</f>
        <v>825</v>
      </c>
      <c r="V861" s="142">
        <f>312.5+312.5</f>
        <v>625</v>
      </c>
      <c r="W861" s="142">
        <f>212.5+212.5</f>
        <v>425</v>
      </c>
      <c r="X861" s="142">
        <f>112.5+112.5</f>
        <v>225</v>
      </c>
      <c r="Y861" s="17" t="s">
        <v>11</v>
      </c>
      <c r="Z861" s="491"/>
      <c r="AA861" s="532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</row>
    <row r="862" spans="1:46" s="6" customFormat="1" ht="13.8" thickBot="1" x14ac:dyDescent="0.3">
      <c r="A862" s="409" t="s">
        <v>1124</v>
      </c>
      <c r="B862" s="120"/>
      <c r="C862" s="307"/>
      <c r="D862" s="85"/>
      <c r="E862" s="86" t="s">
        <v>161</v>
      </c>
      <c r="F862" s="86" t="s">
        <v>408</v>
      </c>
      <c r="G862" s="141"/>
      <c r="H862" s="125"/>
      <c r="I862" s="125"/>
      <c r="J862" s="365" t="s">
        <v>6</v>
      </c>
      <c r="K862" s="333">
        <f>K861+K860</f>
        <v>132250</v>
      </c>
      <c r="L862" s="43">
        <f>L861+L860</f>
        <v>0</v>
      </c>
      <c r="M862" s="43">
        <f t="shared" ref="M862:X862" si="666">M861+M860</f>
        <v>0</v>
      </c>
      <c r="N862" s="43">
        <f t="shared" si="666"/>
        <v>0</v>
      </c>
      <c r="O862" s="43">
        <f t="shared" si="666"/>
        <v>17425</v>
      </c>
      <c r="P862" s="43">
        <f t="shared" si="666"/>
        <v>17125</v>
      </c>
      <c r="Q862" s="43">
        <f t="shared" si="666"/>
        <v>16825</v>
      </c>
      <c r="R862" s="43">
        <f t="shared" si="666"/>
        <v>16525</v>
      </c>
      <c r="S862" s="43">
        <f t="shared" si="666"/>
        <v>11225</v>
      </c>
      <c r="T862" s="43">
        <f t="shared" si="666"/>
        <v>11025</v>
      </c>
      <c r="U862" s="43">
        <f t="shared" si="666"/>
        <v>10825</v>
      </c>
      <c r="V862" s="43">
        <f t="shared" si="666"/>
        <v>10625</v>
      </c>
      <c r="W862" s="43">
        <f t="shared" si="666"/>
        <v>10425</v>
      </c>
      <c r="X862" s="43">
        <f t="shared" si="666"/>
        <v>10225</v>
      </c>
      <c r="Y862" s="41" t="s">
        <v>11</v>
      </c>
      <c r="Z862" s="492"/>
      <c r="AA862" s="533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</row>
    <row r="863" spans="1:46" s="2" customFormat="1" x14ac:dyDescent="0.25">
      <c r="A863" s="26" t="s">
        <v>95</v>
      </c>
      <c r="B863" s="26" t="s">
        <v>96</v>
      </c>
      <c r="C863" s="306"/>
      <c r="D863" s="33" t="s">
        <v>3</v>
      </c>
      <c r="E863" s="34">
        <v>41760</v>
      </c>
      <c r="F863" s="34" t="s">
        <v>269</v>
      </c>
      <c r="G863" s="35" t="s">
        <v>634</v>
      </c>
      <c r="H863" s="35">
        <v>31300256</v>
      </c>
      <c r="I863" s="35">
        <v>582004</v>
      </c>
      <c r="J863" s="2" t="s">
        <v>1</v>
      </c>
      <c r="K863" s="338">
        <v>75000</v>
      </c>
      <c r="L863" s="4">
        <v>0</v>
      </c>
      <c r="M863" s="4">
        <v>0</v>
      </c>
      <c r="N863" s="4">
        <v>0</v>
      </c>
      <c r="O863" s="4">
        <v>15000</v>
      </c>
      <c r="P863" s="283">
        <v>15000</v>
      </c>
      <c r="Q863" s="283">
        <v>15000</v>
      </c>
      <c r="R863" s="283">
        <v>15000</v>
      </c>
      <c r="S863" s="283">
        <v>15000</v>
      </c>
      <c r="T863" s="2" t="s">
        <v>11</v>
      </c>
      <c r="U863" s="283"/>
      <c r="Z863" s="490"/>
      <c r="AA863" s="60"/>
    </row>
    <row r="864" spans="1:46" s="2" customFormat="1" x14ac:dyDescent="0.25">
      <c r="A864" s="400" t="s">
        <v>1101</v>
      </c>
      <c r="B864" s="26"/>
      <c r="C864" s="306"/>
      <c r="D864" s="33"/>
      <c r="E864" s="34" t="s">
        <v>12</v>
      </c>
      <c r="F864" s="34"/>
      <c r="G864" s="35" t="s">
        <v>635</v>
      </c>
      <c r="H864" s="35"/>
      <c r="I864" s="35"/>
      <c r="J864" s="17" t="s">
        <v>2</v>
      </c>
      <c r="K864" s="334">
        <v>4500</v>
      </c>
      <c r="L864" s="11">
        <v>0</v>
      </c>
      <c r="M864" s="11">
        <v>0</v>
      </c>
      <c r="N864" s="11">
        <v>0</v>
      </c>
      <c r="O864" s="11">
        <f>750+750</f>
        <v>1500</v>
      </c>
      <c r="P864" s="142">
        <f>600+600</f>
        <v>1200</v>
      </c>
      <c r="Q864" s="142">
        <f>450+450</f>
        <v>900</v>
      </c>
      <c r="R864" s="142">
        <f>300+300</f>
        <v>600</v>
      </c>
      <c r="S864" s="142">
        <f>150+150</f>
        <v>300</v>
      </c>
      <c r="T864" s="17" t="s">
        <v>11</v>
      </c>
      <c r="U864" s="142"/>
      <c r="V864" s="17"/>
      <c r="W864" s="17"/>
      <c r="X864" s="17"/>
      <c r="Y864" s="17"/>
      <c r="Z864" s="491"/>
      <c r="AA864" s="532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</row>
    <row r="865" spans="1:46" s="6" customFormat="1" ht="13.8" thickBot="1" x14ac:dyDescent="0.3">
      <c r="A865" s="120"/>
      <c r="B865" s="120"/>
      <c r="C865" s="307"/>
      <c r="D865" s="85"/>
      <c r="E865" s="86" t="s">
        <v>161</v>
      </c>
      <c r="F865" s="86" t="s">
        <v>410</v>
      </c>
      <c r="G865" s="141"/>
      <c r="H865" s="125"/>
      <c r="I865" s="125"/>
      <c r="J865" s="365" t="s">
        <v>6</v>
      </c>
      <c r="K865" s="333">
        <f>K864+K863</f>
        <v>79500</v>
      </c>
      <c r="L865" s="43">
        <f>L864+L863</f>
        <v>0</v>
      </c>
      <c r="M865" s="43">
        <f t="shared" ref="M865:S865" si="667">M864+M863</f>
        <v>0</v>
      </c>
      <c r="N865" s="43">
        <f t="shared" si="667"/>
        <v>0</v>
      </c>
      <c r="O865" s="43">
        <f t="shared" si="667"/>
        <v>16500</v>
      </c>
      <c r="P865" s="43">
        <f t="shared" si="667"/>
        <v>16200</v>
      </c>
      <c r="Q865" s="43">
        <f t="shared" si="667"/>
        <v>15900</v>
      </c>
      <c r="R865" s="43">
        <f t="shared" si="667"/>
        <v>15600</v>
      </c>
      <c r="S865" s="43">
        <f t="shared" si="667"/>
        <v>15300</v>
      </c>
      <c r="T865" s="41" t="s">
        <v>11</v>
      </c>
      <c r="U865" s="43"/>
      <c r="V865" s="41"/>
      <c r="W865" s="41"/>
      <c r="X865" s="41"/>
      <c r="Y865" s="41"/>
      <c r="Z865" s="492"/>
      <c r="AA865" s="533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</row>
    <row r="866" spans="1:46" s="2" customFormat="1" x14ac:dyDescent="0.25">
      <c r="A866" s="26" t="s">
        <v>102</v>
      </c>
      <c r="B866" s="26" t="s">
        <v>96</v>
      </c>
      <c r="C866" s="306"/>
      <c r="D866" s="33" t="s">
        <v>3</v>
      </c>
      <c r="E866" s="34">
        <v>41760</v>
      </c>
      <c r="F866" s="34" t="s">
        <v>258</v>
      </c>
      <c r="G866" s="35" t="s">
        <v>636</v>
      </c>
      <c r="H866" s="35">
        <v>31122256</v>
      </c>
      <c r="I866" s="35">
        <v>543011</v>
      </c>
      <c r="J866" s="2" t="s">
        <v>1</v>
      </c>
      <c r="K866" s="27">
        <v>47857</v>
      </c>
      <c r="L866" s="4">
        <v>0</v>
      </c>
      <c r="M866" s="4">
        <v>0</v>
      </c>
      <c r="N866" s="4">
        <v>0</v>
      </c>
      <c r="O866" s="4">
        <v>12857</v>
      </c>
      <c r="P866" s="283">
        <v>10000</v>
      </c>
      <c r="Q866" s="283">
        <v>10000</v>
      </c>
      <c r="R866" s="283">
        <v>10000</v>
      </c>
      <c r="S866" s="283">
        <v>5000</v>
      </c>
      <c r="T866" s="2" t="s">
        <v>11</v>
      </c>
      <c r="U866" s="283"/>
      <c r="Z866" s="490"/>
      <c r="AA866" s="60"/>
    </row>
    <row r="867" spans="1:46" s="2" customFormat="1" x14ac:dyDescent="0.25">
      <c r="A867" s="26"/>
      <c r="B867" s="26"/>
      <c r="C867" s="306"/>
      <c r="D867" s="33"/>
      <c r="E867" s="34" t="s">
        <v>12</v>
      </c>
      <c r="F867" s="34"/>
      <c r="G867" s="35" t="s">
        <v>638</v>
      </c>
      <c r="H867" s="35"/>
      <c r="I867" s="35"/>
      <c r="J867" s="17" t="s">
        <v>2</v>
      </c>
      <c r="K867" s="28">
        <v>2557.14</v>
      </c>
      <c r="L867" s="11">
        <v>0</v>
      </c>
      <c r="M867" s="11">
        <v>0</v>
      </c>
      <c r="N867" s="11">
        <v>0</v>
      </c>
      <c r="O867" s="11">
        <f>478.57+478.57</f>
        <v>957.14</v>
      </c>
      <c r="P867" s="142">
        <f>350+350</f>
        <v>700</v>
      </c>
      <c r="Q867" s="142">
        <f>250+250</f>
        <v>500</v>
      </c>
      <c r="R867" s="142">
        <f>150+150</f>
        <v>300</v>
      </c>
      <c r="S867" s="142">
        <f>50+50</f>
        <v>100</v>
      </c>
      <c r="T867" s="17" t="s">
        <v>11</v>
      </c>
      <c r="U867" s="142"/>
      <c r="V867" s="17"/>
      <c r="W867" s="17"/>
      <c r="X867" s="17"/>
      <c r="Y867" s="17"/>
      <c r="Z867" s="491"/>
      <c r="AA867" s="532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</row>
    <row r="868" spans="1:46" s="6" customFormat="1" ht="13.8" thickBot="1" x14ac:dyDescent="0.3">
      <c r="A868" s="120"/>
      <c r="B868" s="120"/>
      <c r="C868" s="307"/>
      <c r="D868" s="85"/>
      <c r="E868" s="86" t="s">
        <v>160</v>
      </c>
      <c r="F868" s="86" t="s">
        <v>410</v>
      </c>
      <c r="G868" s="125" t="s">
        <v>637</v>
      </c>
      <c r="H868" s="125"/>
      <c r="I868" s="125"/>
      <c r="J868" s="365" t="s">
        <v>6</v>
      </c>
      <c r="K868" s="330">
        <f>K867+K866</f>
        <v>50414.14</v>
      </c>
      <c r="L868" s="43">
        <f>L867+L866</f>
        <v>0</v>
      </c>
      <c r="M868" s="43">
        <f t="shared" ref="M868:S868" si="668">M867+M866</f>
        <v>0</v>
      </c>
      <c r="N868" s="43">
        <f t="shared" si="668"/>
        <v>0</v>
      </c>
      <c r="O868" s="43">
        <f t="shared" si="668"/>
        <v>13814.14</v>
      </c>
      <c r="P868" s="43">
        <f t="shared" si="668"/>
        <v>10700</v>
      </c>
      <c r="Q868" s="43">
        <f t="shared" si="668"/>
        <v>10500</v>
      </c>
      <c r="R868" s="43">
        <f t="shared" si="668"/>
        <v>10300</v>
      </c>
      <c r="S868" s="43">
        <f t="shared" si="668"/>
        <v>5100</v>
      </c>
      <c r="T868" s="41" t="s">
        <v>11</v>
      </c>
      <c r="U868" s="43"/>
      <c r="V868" s="41"/>
      <c r="W868" s="41"/>
      <c r="X868" s="41"/>
      <c r="Y868" s="41"/>
      <c r="Z868" s="492"/>
      <c r="AA868" s="533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</row>
    <row r="869" spans="1:46" s="2" customFormat="1" x14ac:dyDescent="0.25">
      <c r="A869" s="26" t="s">
        <v>102</v>
      </c>
      <c r="B869" s="26" t="s">
        <v>96</v>
      </c>
      <c r="C869" s="306"/>
      <c r="D869" s="33" t="s">
        <v>3</v>
      </c>
      <c r="E869" s="34">
        <v>41760</v>
      </c>
      <c r="F869" s="34" t="s">
        <v>258</v>
      </c>
      <c r="G869" s="35" t="s">
        <v>681</v>
      </c>
      <c r="H869" s="35">
        <v>31210256</v>
      </c>
      <c r="I869" s="35">
        <v>585100</v>
      </c>
      <c r="J869" s="2" t="s">
        <v>1</v>
      </c>
      <c r="K869" s="27">
        <v>184793</v>
      </c>
      <c r="L869" s="4">
        <v>0</v>
      </c>
      <c r="M869" s="4">
        <v>0</v>
      </c>
      <c r="N869" s="4">
        <v>0</v>
      </c>
      <c r="O869" s="4">
        <v>44793</v>
      </c>
      <c r="P869" s="283">
        <v>35000</v>
      </c>
      <c r="Q869" s="283">
        <v>35000</v>
      </c>
      <c r="R869" s="283">
        <v>35000</v>
      </c>
      <c r="S869" s="283">
        <v>35000</v>
      </c>
      <c r="T869" s="2" t="s">
        <v>11</v>
      </c>
      <c r="U869" s="283"/>
      <c r="Z869" s="490"/>
      <c r="AA869" s="60"/>
    </row>
    <row r="870" spans="1:46" s="2" customFormat="1" x14ac:dyDescent="0.25">
      <c r="A870" s="26"/>
      <c r="B870" s="26"/>
      <c r="C870" s="306"/>
      <c r="D870" s="33"/>
      <c r="E870" s="34" t="s">
        <v>12</v>
      </c>
      <c r="F870" s="34"/>
      <c r="G870" s="35" t="s">
        <v>639</v>
      </c>
      <c r="H870" s="35"/>
      <c r="I870" s="35"/>
      <c r="J870" s="17" t="s">
        <v>2</v>
      </c>
      <c r="K870" s="334">
        <v>10695.86</v>
      </c>
      <c r="L870" s="11">
        <v>0</v>
      </c>
      <c r="M870" s="11">
        <v>0</v>
      </c>
      <c r="N870" s="11">
        <v>0</v>
      </c>
      <c r="O870" s="11">
        <f>1847.93+1847.93</f>
        <v>3695.86</v>
      </c>
      <c r="P870" s="142">
        <f>1400+1400</f>
        <v>2800</v>
      </c>
      <c r="Q870" s="142">
        <f>1050+1050</f>
        <v>2100</v>
      </c>
      <c r="R870" s="142">
        <f>700+700</f>
        <v>1400</v>
      </c>
      <c r="S870" s="142">
        <f>350+350</f>
        <v>700</v>
      </c>
      <c r="T870" s="17" t="s">
        <v>11</v>
      </c>
      <c r="U870" s="142"/>
      <c r="V870" s="17"/>
      <c r="W870" s="17"/>
      <c r="X870" s="17"/>
      <c r="Y870" s="17"/>
      <c r="Z870" s="491"/>
      <c r="AA870" s="532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</row>
    <row r="871" spans="1:46" s="6" customFormat="1" ht="13.8" thickBot="1" x14ac:dyDescent="0.3">
      <c r="A871" s="120"/>
      <c r="B871" s="120"/>
      <c r="C871" s="307"/>
      <c r="D871" s="85"/>
      <c r="E871" s="86" t="s">
        <v>160</v>
      </c>
      <c r="F871" s="86" t="s">
        <v>410</v>
      </c>
      <c r="G871" s="125"/>
      <c r="H871" s="125"/>
      <c r="I871" s="125"/>
      <c r="J871" s="365" t="s">
        <v>6</v>
      </c>
      <c r="K871" s="333">
        <f>K870+K869</f>
        <v>195488.86</v>
      </c>
      <c r="L871" s="43">
        <f>L870+L869</f>
        <v>0</v>
      </c>
      <c r="M871" s="43">
        <f t="shared" ref="M871:S871" si="669">M870+M869</f>
        <v>0</v>
      </c>
      <c r="N871" s="43">
        <f t="shared" si="669"/>
        <v>0</v>
      </c>
      <c r="O871" s="43">
        <f t="shared" si="669"/>
        <v>48488.86</v>
      </c>
      <c r="P871" s="43">
        <f t="shared" si="669"/>
        <v>37800</v>
      </c>
      <c r="Q871" s="43">
        <f t="shared" si="669"/>
        <v>37100</v>
      </c>
      <c r="R871" s="43">
        <f t="shared" si="669"/>
        <v>36400</v>
      </c>
      <c r="S871" s="43">
        <f t="shared" si="669"/>
        <v>35700</v>
      </c>
      <c r="T871" s="41" t="s">
        <v>11</v>
      </c>
      <c r="U871" s="43"/>
      <c r="V871" s="41"/>
      <c r="W871" s="41"/>
      <c r="X871" s="41"/>
      <c r="Y871" s="41"/>
      <c r="Z871" s="492"/>
      <c r="AA871" s="533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</row>
    <row r="872" spans="1:46" s="2" customFormat="1" x14ac:dyDescent="0.25">
      <c r="A872" s="26" t="s">
        <v>102</v>
      </c>
      <c r="B872" s="26" t="s">
        <v>96</v>
      </c>
      <c r="C872" s="306"/>
      <c r="D872" s="33" t="s">
        <v>3</v>
      </c>
      <c r="E872" s="34">
        <v>41760</v>
      </c>
      <c r="F872" s="34" t="s">
        <v>258</v>
      </c>
      <c r="G872" s="35" t="s">
        <v>682</v>
      </c>
      <c r="H872" s="35">
        <v>31210256</v>
      </c>
      <c r="I872" s="35">
        <v>582020</v>
      </c>
      <c r="J872" s="2" t="s">
        <v>1</v>
      </c>
      <c r="K872" s="27">
        <v>41406</v>
      </c>
      <c r="L872" s="4">
        <v>0</v>
      </c>
      <c r="M872" s="4">
        <v>0</v>
      </c>
      <c r="N872" s="4">
        <v>0</v>
      </c>
      <c r="O872" s="4">
        <v>11406</v>
      </c>
      <c r="P872" s="283">
        <v>10000</v>
      </c>
      <c r="Q872" s="283">
        <v>10000</v>
      </c>
      <c r="R872" s="283">
        <v>5000</v>
      </c>
      <c r="S872" s="283">
        <v>5000</v>
      </c>
      <c r="T872" s="2" t="s">
        <v>11</v>
      </c>
      <c r="U872" s="283"/>
      <c r="W872" s="283"/>
      <c r="X872" s="283"/>
      <c r="Y872" s="283"/>
      <c r="Z872" s="497"/>
      <c r="AA872" s="536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46" s="2" customFormat="1" x14ac:dyDescent="0.25">
      <c r="A873" s="26"/>
      <c r="B873" s="26"/>
      <c r="C873" s="306"/>
      <c r="D873" s="33"/>
      <c r="E873" s="34" t="s">
        <v>12</v>
      </c>
      <c r="F873" s="34"/>
      <c r="G873" s="35" t="s">
        <v>640</v>
      </c>
      <c r="H873" s="35"/>
      <c r="I873" s="35"/>
      <c r="J873" s="17" t="s">
        <v>2</v>
      </c>
      <c r="K873" s="334">
        <v>2128.12</v>
      </c>
      <c r="L873" s="11">
        <v>0</v>
      </c>
      <c r="M873" s="11">
        <v>0</v>
      </c>
      <c r="N873" s="11">
        <v>0</v>
      </c>
      <c r="O873" s="11">
        <f>414.06+414.06</f>
        <v>828.12</v>
      </c>
      <c r="P873" s="142">
        <f>300+300</f>
        <v>600</v>
      </c>
      <c r="Q873" s="142">
        <f>200+200</f>
        <v>400</v>
      </c>
      <c r="R873" s="142">
        <f>100+100</f>
        <v>200</v>
      </c>
      <c r="S873" s="142">
        <f>50+50</f>
        <v>100</v>
      </c>
      <c r="T873" s="17" t="s">
        <v>11</v>
      </c>
      <c r="U873" s="142"/>
      <c r="V873" s="17"/>
      <c r="W873" s="142"/>
      <c r="X873" s="142"/>
      <c r="Y873" s="142"/>
      <c r="Z873" s="500"/>
      <c r="AA873" s="539"/>
      <c r="AB873" s="21"/>
      <c r="AC873" s="21"/>
      <c r="AD873" s="21"/>
      <c r="AE873" s="21"/>
      <c r="AF873" s="21"/>
      <c r="AG873" s="21"/>
      <c r="AH873" s="21"/>
      <c r="AI873" s="21"/>
      <c r="AJ873" s="21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</row>
    <row r="874" spans="1:46" s="6" customFormat="1" ht="13.8" thickBot="1" x14ac:dyDescent="0.3">
      <c r="A874" s="120"/>
      <c r="B874" s="120"/>
      <c r="C874" s="307"/>
      <c r="D874" s="85"/>
      <c r="E874" s="86" t="s">
        <v>160</v>
      </c>
      <c r="F874" s="86" t="s">
        <v>410</v>
      </c>
      <c r="G874" s="125"/>
      <c r="H874" s="125"/>
      <c r="I874" s="125"/>
      <c r="J874" s="365" t="s">
        <v>6</v>
      </c>
      <c r="K874" s="333">
        <f>K873+K872</f>
        <v>43534.12</v>
      </c>
      <c r="L874" s="43">
        <f>L873+L872</f>
        <v>0</v>
      </c>
      <c r="M874" s="43">
        <f t="shared" ref="M874:S874" si="670">M873+M872</f>
        <v>0</v>
      </c>
      <c r="N874" s="43">
        <f t="shared" si="670"/>
        <v>0</v>
      </c>
      <c r="O874" s="43">
        <f t="shared" si="670"/>
        <v>12234.12</v>
      </c>
      <c r="P874" s="43">
        <f t="shared" si="670"/>
        <v>10600</v>
      </c>
      <c r="Q874" s="43">
        <f t="shared" si="670"/>
        <v>10400</v>
      </c>
      <c r="R874" s="43">
        <f t="shared" si="670"/>
        <v>5200</v>
      </c>
      <c r="S874" s="43">
        <f t="shared" si="670"/>
        <v>5100</v>
      </c>
      <c r="T874" s="41" t="s">
        <v>11</v>
      </c>
      <c r="U874" s="43"/>
      <c r="V874" s="41"/>
      <c r="W874" s="43"/>
      <c r="X874" s="43"/>
      <c r="Y874" s="43"/>
      <c r="Z874" s="499"/>
      <c r="AA874" s="538"/>
      <c r="AB874" s="43"/>
      <c r="AC874" s="43"/>
      <c r="AD874" s="43"/>
      <c r="AE874" s="43"/>
      <c r="AF874" s="43"/>
      <c r="AG874" s="43"/>
      <c r="AH874" s="43"/>
      <c r="AI874" s="43"/>
      <c r="AJ874" s="43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</row>
    <row r="875" spans="1:46" s="2" customFormat="1" x14ac:dyDescent="0.25">
      <c r="A875" s="26" t="s">
        <v>99</v>
      </c>
      <c r="B875" s="26" t="s">
        <v>96</v>
      </c>
      <c r="C875" s="306"/>
      <c r="D875" s="33" t="s">
        <v>3</v>
      </c>
      <c r="E875" s="34">
        <v>41760</v>
      </c>
      <c r="F875" s="34" t="s">
        <v>341</v>
      </c>
      <c r="G875" s="313" t="s">
        <v>457</v>
      </c>
      <c r="H875" s="313">
        <v>31422256</v>
      </c>
      <c r="I875" s="313">
        <v>586200</v>
      </c>
      <c r="J875" s="2" t="s">
        <v>1</v>
      </c>
      <c r="K875" s="338">
        <v>500000</v>
      </c>
      <c r="L875" s="4">
        <v>0</v>
      </c>
      <c r="M875" s="4">
        <v>0</v>
      </c>
      <c r="N875" s="4">
        <v>0</v>
      </c>
      <c r="O875" s="4">
        <v>30000</v>
      </c>
      <c r="P875" s="283">
        <v>30000</v>
      </c>
      <c r="Q875" s="283">
        <v>30000</v>
      </c>
      <c r="R875" s="283">
        <v>30000</v>
      </c>
      <c r="S875" s="283">
        <v>30000</v>
      </c>
      <c r="T875" s="283">
        <v>30000</v>
      </c>
      <c r="U875" s="283">
        <v>30000</v>
      </c>
      <c r="V875" s="283">
        <v>35000</v>
      </c>
      <c r="W875" s="283">
        <v>35000</v>
      </c>
      <c r="X875" s="283">
        <v>35000</v>
      </c>
      <c r="Y875" s="283">
        <v>35000</v>
      </c>
      <c r="Z875" s="497">
        <v>35000</v>
      </c>
      <c r="AA875" s="536">
        <v>35000</v>
      </c>
      <c r="AB875" s="5">
        <v>40000</v>
      </c>
      <c r="AC875" s="5">
        <v>40000</v>
      </c>
      <c r="AD875" s="2" t="s">
        <v>11</v>
      </c>
    </row>
    <row r="876" spans="1:46" s="2" customFormat="1" x14ac:dyDescent="0.25">
      <c r="A876" s="400" t="s">
        <v>990</v>
      </c>
      <c r="B876" s="26"/>
      <c r="C876" s="306"/>
      <c r="D876" s="33"/>
      <c r="E876" s="34" t="s">
        <v>12</v>
      </c>
      <c r="F876" s="34"/>
      <c r="G876" s="35" t="s">
        <v>641</v>
      </c>
      <c r="H876" s="35"/>
      <c r="I876" s="35"/>
      <c r="J876" s="17" t="s">
        <v>2</v>
      </c>
      <c r="K876" s="334">
        <v>104335</v>
      </c>
      <c r="L876" s="11">
        <v>0</v>
      </c>
      <c r="M876" s="11">
        <v>0</v>
      </c>
      <c r="N876" s="11">
        <v>0</v>
      </c>
      <c r="O876" s="11">
        <f>5783.75+5783.75</f>
        <v>11567.5</v>
      </c>
      <c r="P876" s="142">
        <f>5483.75+5483.75</f>
        <v>10967.5</v>
      </c>
      <c r="Q876" s="142">
        <f>5183.75+5183.75</f>
        <v>10367.5</v>
      </c>
      <c r="R876" s="142">
        <f>4883.75+4883.75</f>
        <v>9767.5</v>
      </c>
      <c r="S876" s="142">
        <f>4583.75+4583.75</f>
        <v>9167.5</v>
      </c>
      <c r="T876" s="142">
        <f>4283.75+4283.75</f>
        <v>8567.5</v>
      </c>
      <c r="U876" s="142">
        <f>3983.75+3983.75</f>
        <v>7967.5</v>
      </c>
      <c r="V876" s="142">
        <f>3683.75+3683.75</f>
        <v>7367.5</v>
      </c>
      <c r="W876" s="142">
        <f>3333.75+3333.75</f>
        <v>6667.5</v>
      </c>
      <c r="X876" s="142">
        <f>2983.75+2983.75</f>
        <v>5967.5</v>
      </c>
      <c r="Y876" s="142">
        <f>2590+2590</f>
        <v>5180</v>
      </c>
      <c r="Z876" s="500">
        <f>2100+2100</f>
        <v>4200</v>
      </c>
      <c r="AA876" s="539">
        <f>1610+1610</f>
        <v>3220</v>
      </c>
      <c r="AB876" s="21">
        <f>1120+1120</f>
        <v>2240</v>
      </c>
      <c r="AC876" s="21">
        <f>560+560</f>
        <v>1120</v>
      </c>
      <c r="AD876" s="17" t="s">
        <v>11</v>
      </c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</row>
    <row r="877" spans="1:46" s="6" customFormat="1" ht="13.8" thickBot="1" x14ac:dyDescent="0.3">
      <c r="A877" s="409" t="s">
        <v>1122</v>
      </c>
      <c r="B877" s="120"/>
      <c r="C877" s="307"/>
      <c r="D877" s="85"/>
      <c r="E877" s="86" t="s">
        <v>15</v>
      </c>
      <c r="F877" s="86" t="s">
        <v>405</v>
      </c>
      <c r="G877" s="141"/>
      <c r="H877" s="125"/>
      <c r="I877" s="125"/>
      <c r="J877" s="365" t="s">
        <v>6</v>
      </c>
      <c r="K877" s="333">
        <f>K876+K875</f>
        <v>604335</v>
      </c>
      <c r="L877" s="43">
        <f>L876+L875</f>
        <v>0</v>
      </c>
      <c r="M877" s="43">
        <f t="shared" ref="M877:AC877" si="671">M876+M875</f>
        <v>0</v>
      </c>
      <c r="N877" s="43">
        <f t="shared" si="671"/>
        <v>0</v>
      </c>
      <c r="O877" s="43">
        <f t="shared" si="671"/>
        <v>41567.5</v>
      </c>
      <c r="P877" s="43">
        <f t="shared" si="671"/>
        <v>40967.5</v>
      </c>
      <c r="Q877" s="43">
        <f t="shared" si="671"/>
        <v>40367.5</v>
      </c>
      <c r="R877" s="43">
        <f t="shared" si="671"/>
        <v>39767.5</v>
      </c>
      <c r="S877" s="43">
        <f t="shared" si="671"/>
        <v>39167.5</v>
      </c>
      <c r="T877" s="43">
        <f t="shared" si="671"/>
        <v>38567.5</v>
      </c>
      <c r="U877" s="43">
        <f t="shared" si="671"/>
        <v>37967.5</v>
      </c>
      <c r="V877" s="43">
        <f t="shared" si="671"/>
        <v>42367.5</v>
      </c>
      <c r="W877" s="43">
        <f t="shared" si="671"/>
        <v>41667.5</v>
      </c>
      <c r="X877" s="43">
        <f t="shared" si="671"/>
        <v>40967.5</v>
      </c>
      <c r="Y877" s="43">
        <f t="shared" si="671"/>
        <v>40180</v>
      </c>
      <c r="Z877" s="499">
        <f t="shared" si="671"/>
        <v>39200</v>
      </c>
      <c r="AA877" s="538">
        <f t="shared" si="671"/>
        <v>38220</v>
      </c>
      <c r="AB877" s="43">
        <f t="shared" si="671"/>
        <v>42240</v>
      </c>
      <c r="AC877" s="43">
        <f t="shared" si="671"/>
        <v>41120</v>
      </c>
      <c r="AD877" s="41" t="s">
        <v>11</v>
      </c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</row>
    <row r="878" spans="1:46" s="2" customFormat="1" x14ac:dyDescent="0.25">
      <c r="A878" s="26" t="s">
        <v>102</v>
      </c>
      <c r="B878" s="26" t="s">
        <v>96</v>
      </c>
      <c r="C878" s="306"/>
      <c r="D878" s="33" t="s">
        <v>3</v>
      </c>
      <c r="E878" s="34">
        <v>41760</v>
      </c>
      <c r="F878" s="34" t="s">
        <v>258</v>
      </c>
      <c r="G878" s="35" t="s">
        <v>642</v>
      </c>
      <c r="H878" s="35">
        <v>31422256</v>
      </c>
      <c r="I878" s="35">
        <v>543013</v>
      </c>
      <c r="J878" s="2" t="s">
        <v>1</v>
      </c>
      <c r="K878" s="338">
        <v>25000</v>
      </c>
      <c r="L878" s="4">
        <v>0</v>
      </c>
      <c r="M878" s="4">
        <v>0</v>
      </c>
      <c r="N878" s="4">
        <v>0</v>
      </c>
      <c r="O878" s="4">
        <v>5000</v>
      </c>
      <c r="P878" s="283">
        <v>5000</v>
      </c>
      <c r="Q878" s="283">
        <v>5000</v>
      </c>
      <c r="R878" s="283">
        <v>5000</v>
      </c>
      <c r="S878" s="283">
        <v>5000</v>
      </c>
      <c r="T878" s="2" t="s">
        <v>11</v>
      </c>
      <c r="U878" s="283"/>
      <c r="Z878" s="490"/>
      <c r="AA878" s="60"/>
    </row>
    <row r="879" spans="1:46" s="2" customFormat="1" x14ac:dyDescent="0.25">
      <c r="A879" s="26"/>
      <c r="B879" s="26"/>
      <c r="C879" s="306"/>
      <c r="D879" s="33"/>
      <c r="E879" s="34" t="s">
        <v>12</v>
      </c>
      <c r="F879" s="34"/>
      <c r="G879" s="35" t="s">
        <v>643</v>
      </c>
      <c r="H879" s="35"/>
      <c r="I879" s="35"/>
      <c r="J879" s="17" t="s">
        <v>2</v>
      </c>
      <c r="K879" s="334">
        <v>1500</v>
      </c>
      <c r="L879" s="11">
        <v>0</v>
      </c>
      <c r="M879" s="11">
        <v>0</v>
      </c>
      <c r="N879" s="11">
        <v>0</v>
      </c>
      <c r="O879" s="11">
        <f>250+250</f>
        <v>500</v>
      </c>
      <c r="P879" s="142">
        <f>200+200</f>
        <v>400</v>
      </c>
      <c r="Q879" s="142">
        <f>150+150</f>
        <v>300</v>
      </c>
      <c r="R879" s="142">
        <f>100+100</f>
        <v>200</v>
      </c>
      <c r="S879" s="142">
        <f>50+50</f>
        <v>100</v>
      </c>
      <c r="T879" s="17" t="s">
        <v>11</v>
      </c>
      <c r="U879" s="142"/>
      <c r="V879" s="17"/>
      <c r="W879" s="17"/>
      <c r="X879" s="17"/>
      <c r="Y879" s="17"/>
      <c r="Z879" s="491"/>
      <c r="AA879" s="532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</row>
    <row r="880" spans="1:46" s="6" customFormat="1" ht="13.8" thickBot="1" x14ac:dyDescent="0.3">
      <c r="A880" s="120"/>
      <c r="B880" s="120"/>
      <c r="C880" s="307"/>
      <c r="D880" s="85"/>
      <c r="E880" s="86" t="s">
        <v>160</v>
      </c>
      <c r="F880" s="86" t="s">
        <v>410</v>
      </c>
      <c r="G880" s="141"/>
      <c r="H880" s="125"/>
      <c r="I880" s="125"/>
      <c r="J880" s="365" t="s">
        <v>6</v>
      </c>
      <c r="K880" s="333">
        <f>K879+K878</f>
        <v>26500</v>
      </c>
      <c r="L880" s="43">
        <f>L879+L878</f>
        <v>0</v>
      </c>
      <c r="M880" s="43">
        <f t="shared" ref="M880:S880" si="672">M879+M878</f>
        <v>0</v>
      </c>
      <c r="N880" s="43">
        <f t="shared" si="672"/>
        <v>0</v>
      </c>
      <c r="O880" s="43">
        <f t="shared" si="672"/>
        <v>5500</v>
      </c>
      <c r="P880" s="43">
        <f t="shared" si="672"/>
        <v>5400</v>
      </c>
      <c r="Q880" s="43">
        <f t="shared" si="672"/>
        <v>5300</v>
      </c>
      <c r="R880" s="43">
        <f t="shared" si="672"/>
        <v>5200</v>
      </c>
      <c r="S880" s="43">
        <f t="shared" si="672"/>
        <v>5100</v>
      </c>
      <c r="T880" s="41" t="s">
        <v>11</v>
      </c>
      <c r="U880" s="43"/>
      <c r="V880" s="41"/>
      <c r="W880" s="41"/>
      <c r="X880" s="41"/>
      <c r="Y880" s="41"/>
      <c r="Z880" s="492"/>
      <c r="AA880" s="533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</row>
    <row r="881" spans="1:46" s="2" customFormat="1" x14ac:dyDescent="0.25">
      <c r="A881" s="26" t="s">
        <v>102</v>
      </c>
      <c r="B881" s="26" t="s">
        <v>96</v>
      </c>
      <c r="C881" s="306"/>
      <c r="D881" s="33" t="s">
        <v>3</v>
      </c>
      <c r="E881" s="34">
        <v>41760</v>
      </c>
      <c r="F881" s="34" t="s">
        <v>259</v>
      </c>
      <c r="G881" s="35" t="s">
        <v>644</v>
      </c>
      <c r="H881" s="35">
        <v>31155256</v>
      </c>
      <c r="I881" s="35">
        <v>585002</v>
      </c>
      <c r="J881" s="2" t="s">
        <v>1</v>
      </c>
      <c r="K881" s="338">
        <v>33800</v>
      </c>
      <c r="L881" s="4">
        <v>0</v>
      </c>
      <c r="M881" s="4">
        <v>0</v>
      </c>
      <c r="N881" s="4">
        <v>0</v>
      </c>
      <c r="O881" s="4">
        <v>8800</v>
      </c>
      <c r="P881" s="283">
        <v>5000</v>
      </c>
      <c r="Q881" s="283">
        <v>5000</v>
      </c>
      <c r="R881" s="283">
        <v>5000</v>
      </c>
      <c r="S881" s="283">
        <v>5000</v>
      </c>
      <c r="T881" s="283">
        <v>5000</v>
      </c>
      <c r="U881" s="2" t="s">
        <v>11</v>
      </c>
      <c r="Y881" s="283"/>
      <c r="Z881" s="497"/>
      <c r="AA881" s="536"/>
      <c r="AB881" s="5"/>
      <c r="AC881" s="5"/>
    </row>
    <row r="882" spans="1:46" s="2" customFormat="1" x14ac:dyDescent="0.25">
      <c r="A882" s="400" t="s">
        <v>991</v>
      </c>
      <c r="B882" s="26"/>
      <c r="C882" s="306"/>
      <c r="D882" s="33"/>
      <c r="E882" s="34" t="s">
        <v>12</v>
      </c>
      <c r="F882" s="34"/>
      <c r="G882" s="35" t="s">
        <v>645</v>
      </c>
      <c r="H882" s="35"/>
      <c r="I882" s="35"/>
      <c r="J882" s="17" t="s">
        <v>2</v>
      </c>
      <c r="K882" s="334">
        <v>2176</v>
      </c>
      <c r="L882" s="11">
        <v>0</v>
      </c>
      <c r="M882" s="11">
        <v>0</v>
      </c>
      <c r="N882" s="11">
        <v>0</v>
      </c>
      <c r="O882" s="11">
        <f>338+338</f>
        <v>676</v>
      </c>
      <c r="P882" s="142">
        <f>250+250</f>
        <v>500</v>
      </c>
      <c r="Q882" s="142">
        <f>200+200</f>
        <v>400</v>
      </c>
      <c r="R882" s="142">
        <f>150+150</f>
        <v>300</v>
      </c>
      <c r="S882" s="142">
        <f>100+100</f>
        <v>200</v>
      </c>
      <c r="T882" s="142">
        <f>50+50</f>
        <v>100</v>
      </c>
      <c r="U882" s="17" t="s">
        <v>11</v>
      </c>
      <c r="V882" s="17"/>
      <c r="W882" s="17"/>
      <c r="X882" s="17"/>
      <c r="Y882" s="142"/>
      <c r="Z882" s="500"/>
      <c r="AA882" s="539"/>
      <c r="AB882" s="21"/>
      <c r="AC882" s="21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</row>
    <row r="883" spans="1:46" s="6" customFormat="1" ht="13.8" thickBot="1" x14ac:dyDescent="0.3">
      <c r="A883" s="120"/>
      <c r="B883" s="120"/>
      <c r="C883" s="307"/>
      <c r="D883" s="85"/>
      <c r="E883" s="86" t="s">
        <v>160</v>
      </c>
      <c r="F883" s="86" t="s">
        <v>410</v>
      </c>
      <c r="G883" s="141"/>
      <c r="H883" s="125"/>
      <c r="I883" s="125"/>
      <c r="J883" s="365" t="s">
        <v>6</v>
      </c>
      <c r="K883" s="333">
        <f>K882+K881</f>
        <v>35976</v>
      </c>
      <c r="L883" s="43">
        <f>L882+L881</f>
        <v>0</v>
      </c>
      <c r="M883" s="43">
        <f t="shared" ref="M883:T883" si="673">M882+M881</f>
        <v>0</v>
      </c>
      <c r="N883" s="43">
        <f t="shared" si="673"/>
        <v>0</v>
      </c>
      <c r="O883" s="43">
        <f t="shared" si="673"/>
        <v>9476</v>
      </c>
      <c r="P883" s="43">
        <f t="shared" si="673"/>
        <v>5500</v>
      </c>
      <c r="Q883" s="43">
        <f t="shared" si="673"/>
        <v>5400</v>
      </c>
      <c r="R883" s="43">
        <f t="shared" si="673"/>
        <v>5300</v>
      </c>
      <c r="S883" s="43">
        <f t="shared" si="673"/>
        <v>5200</v>
      </c>
      <c r="T883" s="43">
        <f t="shared" si="673"/>
        <v>5100</v>
      </c>
      <c r="U883" s="41" t="s">
        <v>11</v>
      </c>
      <c r="V883" s="41"/>
      <c r="W883" s="41"/>
      <c r="X883" s="41"/>
      <c r="Y883" s="43"/>
      <c r="Z883" s="499"/>
      <c r="AA883" s="538"/>
      <c r="AB883" s="43"/>
      <c r="AC883" s="43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</row>
    <row r="884" spans="1:46" s="2" customFormat="1" x14ac:dyDescent="0.25">
      <c r="A884" s="26" t="s">
        <v>99</v>
      </c>
      <c r="B884" s="26" t="s">
        <v>96</v>
      </c>
      <c r="C884" s="306"/>
      <c r="D884" s="33" t="s">
        <v>3</v>
      </c>
      <c r="E884" s="34">
        <v>41760</v>
      </c>
      <c r="F884" s="34" t="s">
        <v>341</v>
      </c>
      <c r="G884" s="35" t="s">
        <v>646</v>
      </c>
      <c r="H884" s="35">
        <v>31650256</v>
      </c>
      <c r="I884" s="35">
        <v>586202</v>
      </c>
      <c r="J884" s="2" t="s">
        <v>1</v>
      </c>
      <c r="K884" s="338">
        <v>50000</v>
      </c>
      <c r="L884" s="4">
        <v>0</v>
      </c>
      <c r="M884" s="4">
        <v>0</v>
      </c>
      <c r="N884" s="4">
        <v>0</v>
      </c>
      <c r="O884" s="4">
        <v>10000</v>
      </c>
      <c r="P884" s="283">
        <v>10000</v>
      </c>
      <c r="Q884" s="283">
        <v>10000</v>
      </c>
      <c r="R884" s="283">
        <v>10000</v>
      </c>
      <c r="S884" s="283">
        <v>10000</v>
      </c>
      <c r="T884" s="2" t="s">
        <v>11</v>
      </c>
      <c r="U884" s="283"/>
      <c r="Z884" s="490"/>
      <c r="AA884" s="60"/>
    </row>
    <row r="885" spans="1:46" s="2" customFormat="1" x14ac:dyDescent="0.25">
      <c r="A885" s="26"/>
      <c r="B885" s="26"/>
      <c r="C885" s="306"/>
      <c r="D885" s="33"/>
      <c r="E885" s="34" t="s">
        <v>12</v>
      </c>
      <c r="F885" s="34"/>
      <c r="G885" s="35" t="s">
        <v>647</v>
      </c>
      <c r="H885" s="35"/>
      <c r="I885" s="35"/>
      <c r="J885" s="17" t="s">
        <v>2</v>
      </c>
      <c r="K885" s="334">
        <v>3000</v>
      </c>
      <c r="L885" s="11">
        <v>0</v>
      </c>
      <c r="M885" s="11">
        <v>0</v>
      </c>
      <c r="N885" s="11">
        <v>0</v>
      </c>
      <c r="O885" s="11">
        <f>500+500</f>
        <v>1000</v>
      </c>
      <c r="P885" s="142">
        <f>400+400</f>
        <v>800</v>
      </c>
      <c r="Q885" s="142">
        <f>300+300</f>
        <v>600</v>
      </c>
      <c r="R885" s="142">
        <f>200+200</f>
        <v>400</v>
      </c>
      <c r="S885" s="142">
        <f>100+100</f>
        <v>200</v>
      </c>
      <c r="T885" s="17" t="s">
        <v>11</v>
      </c>
      <c r="U885" s="142"/>
      <c r="V885" s="17"/>
      <c r="W885" s="17"/>
      <c r="X885" s="17"/>
      <c r="Y885" s="17"/>
      <c r="Z885" s="491"/>
      <c r="AA885" s="532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</row>
    <row r="886" spans="1:46" s="6" customFormat="1" ht="13.8" thickBot="1" x14ac:dyDescent="0.3">
      <c r="A886" s="120"/>
      <c r="B886" s="120"/>
      <c r="C886" s="307"/>
      <c r="D886" s="85"/>
      <c r="E886" s="86" t="s">
        <v>15</v>
      </c>
      <c r="F886" s="86" t="s">
        <v>410</v>
      </c>
      <c r="G886" s="141"/>
      <c r="H886" s="125"/>
      <c r="I886" s="125"/>
      <c r="J886" s="365" t="s">
        <v>6</v>
      </c>
      <c r="K886" s="333">
        <f>K885+K884</f>
        <v>53000</v>
      </c>
      <c r="L886" s="43">
        <f>L885+L884</f>
        <v>0</v>
      </c>
      <c r="M886" s="43">
        <f t="shared" ref="M886:S886" si="674">M885+M884</f>
        <v>0</v>
      </c>
      <c r="N886" s="43">
        <f t="shared" si="674"/>
        <v>0</v>
      </c>
      <c r="O886" s="43">
        <f t="shared" si="674"/>
        <v>11000</v>
      </c>
      <c r="P886" s="43">
        <f t="shared" si="674"/>
        <v>10800</v>
      </c>
      <c r="Q886" s="43">
        <f t="shared" si="674"/>
        <v>10600</v>
      </c>
      <c r="R886" s="43">
        <f t="shared" si="674"/>
        <v>10400</v>
      </c>
      <c r="S886" s="43">
        <f t="shared" si="674"/>
        <v>10200</v>
      </c>
      <c r="T886" s="41" t="s">
        <v>11</v>
      </c>
      <c r="U886" s="43"/>
      <c r="V886" s="41"/>
      <c r="W886" s="41"/>
      <c r="X886" s="41"/>
      <c r="Y886" s="41"/>
      <c r="Z886" s="492"/>
      <c r="AA886" s="533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</row>
    <row r="887" spans="1:46" s="2" customFormat="1" x14ac:dyDescent="0.25">
      <c r="A887" s="26" t="s">
        <v>98</v>
      </c>
      <c r="B887" s="26" t="s">
        <v>96</v>
      </c>
      <c r="C887" s="306"/>
      <c r="D887" s="33" t="s">
        <v>3</v>
      </c>
      <c r="E887" s="34">
        <v>41760</v>
      </c>
      <c r="F887" s="34" t="s">
        <v>259</v>
      </c>
      <c r="G887" s="323" t="s">
        <v>129</v>
      </c>
      <c r="H887" s="323">
        <v>31300256</v>
      </c>
      <c r="I887" s="323">
        <v>585002</v>
      </c>
      <c r="J887" s="2" t="s">
        <v>1</v>
      </c>
      <c r="K887" s="338">
        <v>438312</v>
      </c>
      <c r="L887" s="4">
        <v>0</v>
      </c>
      <c r="M887" s="4">
        <v>0</v>
      </c>
      <c r="N887" s="4">
        <v>0</v>
      </c>
      <c r="O887" s="4">
        <v>48312</v>
      </c>
      <c r="P887" s="283">
        <v>45000</v>
      </c>
      <c r="Q887" s="283">
        <v>45000</v>
      </c>
      <c r="R887" s="283">
        <v>45000</v>
      </c>
      <c r="S887" s="283">
        <v>45000</v>
      </c>
      <c r="T887" s="283">
        <v>45000</v>
      </c>
      <c r="U887" s="283">
        <v>45000</v>
      </c>
      <c r="V887" s="283">
        <v>40000</v>
      </c>
      <c r="W887" s="283">
        <v>40000</v>
      </c>
      <c r="X887" s="283">
        <v>40000</v>
      </c>
      <c r="Y887" s="2" t="s">
        <v>11</v>
      </c>
      <c r="Z887" s="490"/>
      <c r="AA887" s="60"/>
    </row>
    <row r="888" spans="1:46" s="2" customFormat="1" x14ac:dyDescent="0.25">
      <c r="A888" s="400" t="s">
        <v>992</v>
      </c>
      <c r="B888" s="26"/>
      <c r="C888" s="306"/>
      <c r="D888" s="33"/>
      <c r="E888" s="34" t="s">
        <v>12</v>
      </c>
      <c r="F888" s="34"/>
      <c r="G888" s="35" t="s">
        <v>648</v>
      </c>
      <c r="H888" s="35"/>
      <c r="I888" s="35"/>
      <c r="J888" s="17" t="s">
        <v>2</v>
      </c>
      <c r="K888" s="334">
        <v>47866.239999999998</v>
      </c>
      <c r="L888" s="11">
        <v>0</v>
      </c>
      <c r="M888" s="11">
        <v>0</v>
      </c>
      <c r="N888" s="11">
        <v>0</v>
      </c>
      <c r="O888" s="11">
        <f>4433.12+4433.12</f>
        <v>8866.24</v>
      </c>
      <c r="P888" s="142">
        <f>3950+3950</f>
        <v>7900</v>
      </c>
      <c r="Q888" s="142">
        <f>3500+3500</f>
        <v>7000</v>
      </c>
      <c r="R888" s="142">
        <f>3050+3050</f>
        <v>6100</v>
      </c>
      <c r="S888" s="142">
        <f>2600+2600</f>
        <v>5200</v>
      </c>
      <c r="T888" s="142">
        <f>2150+2150</f>
        <v>4300</v>
      </c>
      <c r="U888" s="142">
        <f>1700+1700</f>
        <v>3400</v>
      </c>
      <c r="V888" s="142">
        <f>1250+1250</f>
        <v>2500</v>
      </c>
      <c r="W888" s="142">
        <f>850+850</f>
        <v>1700</v>
      </c>
      <c r="X888" s="142">
        <f>450+450</f>
        <v>900</v>
      </c>
      <c r="Y888" s="17" t="s">
        <v>11</v>
      </c>
      <c r="Z888" s="490"/>
      <c r="AA888" s="60"/>
    </row>
    <row r="889" spans="1:46" s="6" customFormat="1" ht="13.8" thickBot="1" x14ac:dyDescent="0.3">
      <c r="A889" s="409" t="s">
        <v>1124</v>
      </c>
      <c r="B889" s="120"/>
      <c r="C889" s="307"/>
      <c r="D889" s="85"/>
      <c r="E889" s="86" t="s">
        <v>17</v>
      </c>
      <c r="F889" s="86" t="s">
        <v>408</v>
      </c>
      <c r="G889" s="141"/>
      <c r="H889" s="125"/>
      <c r="I889" s="125"/>
      <c r="J889" s="365" t="s">
        <v>6</v>
      </c>
      <c r="K889" s="333">
        <f>K888+K887</f>
        <v>486178.24</v>
      </c>
      <c r="L889" s="43">
        <f>L888+L887</f>
        <v>0</v>
      </c>
      <c r="M889" s="43">
        <f t="shared" ref="M889:X889" si="675">M888+M887</f>
        <v>0</v>
      </c>
      <c r="N889" s="43">
        <f t="shared" si="675"/>
        <v>0</v>
      </c>
      <c r="O889" s="43">
        <f t="shared" si="675"/>
        <v>57178.239999999998</v>
      </c>
      <c r="P889" s="43">
        <f t="shared" si="675"/>
        <v>52900</v>
      </c>
      <c r="Q889" s="43">
        <f t="shared" si="675"/>
        <v>52000</v>
      </c>
      <c r="R889" s="43">
        <f t="shared" si="675"/>
        <v>51100</v>
      </c>
      <c r="S889" s="43">
        <f t="shared" si="675"/>
        <v>50200</v>
      </c>
      <c r="T889" s="43">
        <f t="shared" si="675"/>
        <v>49300</v>
      </c>
      <c r="U889" s="43">
        <f t="shared" si="675"/>
        <v>48400</v>
      </c>
      <c r="V889" s="43">
        <f t="shared" si="675"/>
        <v>42500</v>
      </c>
      <c r="W889" s="43">
        <f t="shared" si="675"/>
        <v>41700</v>
      </c>
      <c r="X889" s="43">
        <f t="shared" si="675"/>
        <v>40900</v>
      </c>
      <c r="Y889" s="41" t="s">
        <v>11</v>
      </c>
      <c r="Z889" s="492"/>
      <c r="AA889" s="533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</row>
    <row r="890" spans="1:46" s="2" customFormat="1" ht="12.75" customHeight="1" x14ac:dyDescent="0.25">
      <c r="A890" s="26" t="s">
        <v>98</v>
      </c>
      <c r="B890" s="26" t="s">
        <v>96</v>
      </c>
      <c r="C890" s="306"/>
      <c r="D890" s="33" t="s">
        <v>3</v>
      </c>
      <c r="E890" s="34">
        <v>41760</v>
      </c>
      <c r="F890" s="34" t="s">
        <v>341</v>
      </c>
      <c r="G890" s="35" t="s">
        <v>649</v>
      </c>
      <c r="H890" s="35">
        <v>31300256</v>
      </c>
      <c r="I890" s="35">
        <v>586202</v>
      </c>
      <c r="J890" s="2" t="s">
        <v>1</v>
      </c>
      <c r="K890" s="338">
        <v>100000</v>
      </c>
      <c r="L890" s="4">
        <v>0</v>
      </c>
      <c r="M890" s="4">
        <v>0</v>
      </c>
      <c r="N890" s="4">
        <v>0</v>
      </c>
      <c r="O890" s="4">
        <v>20000</v>
      </c>
      <c r="P890" s="283">
        <v>20000</v>
      </c>
      <c r="Q890" s="283">
        <v>20000</v>
      </c>
      <c r="R890" s="283">
        <v>20000</v>
      </c>
      <c r="S890" s="283">
        <v>20000</v>
      </c>
      <c r="T890" s="2" t="s">
        <v>11</v>
      </c>
      <c r="U890" s="283"/>
      <c r="Z890" s="490"/>
      <c r="AA890" s="60"/>
    </row>
    <row r="891" spans="1:46" s="2" customFormat="1" ht="12.75" customHeight="1" x14ac:dyDescent="0.25">
      <c r="A891" s="400" t="s">
        <v>1103</v>
      </c>
      <c r="B891" s="26"/>
      <c r="C891" s="306"/>
      <c r="D891" s="33"/>
      <c r="E891" s="34" t="s">
        <v>12</v>
      </c>
      <c r="F891" s="34"/>
      <c r="G891" s="35" t="s">
        <v>650</v>
      </c>
      <c r="H891" s="35"/>
      <c r="I891" s="35"/>
      <c r="J891" s="17" t="s">
        <v>2</v>
      </c>
      <c r="K891" s="334">
        <v>6000</v>
      </c>
      <c r="L891" s="11">
        <v>0</v>
      </c>
      <c r="M891" s="11">
        <v>0</v>
      </c>
      <c r="N891" s="11">
        <v>0</v>
      </c>
      <c r="O891" s="11">
        <f>1000+1000</f>
        <v>2000</v>
      </c>
      <c r="P891" s="142">
        <f>800+800</f>
        <v>1600</v>
      </c>
      <c r="Q891" s="142">
        <f>600+600</f>
        <v>1200</v>
      </c>
      <c r="R891" s="142">
        <f>400+400</f>
        <v>800</v>
      </c>
      <c r="S891" s="142">
        <f>200+200</f>
        <v>400</v>
      </c>
      <c r="T891" s="17" t="s">
        <v>11</v>
      </c>
      <c r="U891" s="142"/>
      <c r="V891" s="17"/>
      <c r="W891" s="17"/>
      <c r="X891" s="17"/>
      <c r="Y891" s="17"/>
      <c r="Z891" s="491"/>
      <c r="AA891" s="532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</row>
    <row r="892" spans="1:46" s="6" customFormat="1" ht="13.5" customHeight="1" thickBot="1" x14ac:dyDescent="0.3">
      <c r="A892" s="120"/>
      <c r="B892" s="120"/>
      <c r="C892" s="307"/>
      <c r="D892" s="85"/>
      <c r="E892" s="86" t="s">
        <v>17</v>
      </c>
      <c r="F892" s="86" t="s">
        <v>410</v>
      </c>
      <c r="G892" s="141"/>
      <c r="H892" s="125"/>
      <c r="I892" s="125"/>
      <c r="J892" s="365" t="s">
        <v>6</v>
      </c>
      <c r="K892" s="333">
        <f>K891+K890</f>
        <v>106000</v>
      </c>
      <c r="L892" s="43">
        <f>L891+L890</f>
        <v>0</v>
      </c>
      <c r="M892" s="43">
        <f t="shared" ref="M892:S892" si="676">M891+M890</f>
        <v>0</v>
      </c>
      <c r="N892" s="43">
        <f t="shared" si="676"/>
        <v>0</v>
      </c>
      <c r="O892" s="43">
        <f t="shared" si="676"/>
        <v>22000</v>
      </c>
      <c r="P892" s="43">
        <f t="shared" si="676"/>
        <v>21600</v>
      </c>
      <c r="Q892" s="43">
        <f t="shared" si="676"/>
        <v>21200</v>
      </c>
      <c r="R892" s="43">
        <f t="shared" si="676"/>
        <v>20800</v>
      </c>
      <c r="S892" s="43">
        <f t="shared" si="676"/>
        <v>20400</v>
      </c>
      <c r="T892" s="41" t="s">
        <v>11</v>
      </c>
      <c r="U892" s="43"/>
      <c r="V892" s="41"/>
      <c r="W892" s="41"/>
      <c r="X892" s="41"/>
      <c r="Y892" s="41"/>
      <c r="Z892" s="492"/>
      <c r="AA892" s="533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</row>
    <row r="893" spans="1:46" s="2" customFormat="1" ht="12.75" customHeight="1" x14ac:dyDescent="0.25">
      <c r="A893" s="26" t="s">
        <v>98</v>
      </c>
      <c r="B893" s="26" t="s">
        <v>96</v>
      </c>
      <c r="C893" s="306"/>
      <c r="D893" s="33" t="s">
        <v>3</v>
      </c>
      <c r="E893" s="34">
        <v>41760</v>
      </c>
      <c r="F893" s="34" t="s">
        <v>258</v>
      </c>
      <c r="G893" s="35" t="s">
        <v>651</v>
      </c>
      <c r="H893" s="35">
        <v>31300256</v>
      </c>
      <c r="I893" s="35">
        <v>587010</v>
      </c>
      <c r="J893" s="2" t="s">
        <v>1</v>
      </c>
      <c r="K893" s="338">
        <v>35000</v>
      </c>
      <c r="L893" s="4">
        <v>0</v>
      </c>
      <c r="M893" s="4">
        <v>0</v>
      </c>
      <c r="N893" s="4">
        <v>0</v>
      </c>
      <c r="O893" s="4">
        <v>10000</v>
      </c>
      <c r="P893" s="283">
        <v>10000</v>
      </c>
      <c r="Q893" s="283">
        <v>10000</v>
      </c>
      <c r="R893" s="283">
        <v>5000</v>
      </c>
      <c r="S893" s="2" t="s">
        <v>11</v>
      </c>
      <c r="T893" s="283"/>
      <c r="U893" s="283"/>
      <c r="V893" s="283"/>
      <c r="W893" s="283"/>
      <c r="X893" s="283"/>
      <c r="Y893" s="283"/>
      <c r="Z893" s="497"/>
      <c r="AA893" s="536"/>
      <c r="AB893" s="5"/>
      <c r="AC893" s="5"/>
    </row>
    <row r="894" spans="1:46" s="2" customFormat="1" ht="12.75" customHeight="1" x14ac:dyDescent="0.25">
      <c r="A894" s="26"/>
      <c r="B894" s="26"/>
      <c r="C894" s="306"/>
      <c r="D894" s="33"/>
      <c r="E894" s="34" t="s">
        <v>12</v>
      </c>
      <c r="F894" s="34"/>
      <c r="G894" s="35" t="s">
        <v>652</v>
      </c>
      <c r="H894" s="35"/>
      <c r="I894" s="35"/>
      <c r="J894" s="17" t="s">
        <v>2</v>
      </c>
      <c r="K894" s="334">
        <v>1600</v>
      </c>
      <c r="L894" s="11">
        <v>0</v>
      </c>
      <c r="M894" s="11">
        <v>0</v>
      </c>
      <c r="N894" s="11">
        <v>0</v>
      </c>
      <c r="O894" s="11">
        <f>350+350</f>
        <v>700</v>
      </c>
      <c r="P894" s="142">
        <f>250+250</f>
        <v>500</v>
      </c>
      <c r="Q894" s="142">
        <f>150+150</f>
        <v>300</v>
      </c>
      <c r="R894" s="142">
        <f>50+50</f>
        <v>100</v>
      </c>
      <c r="S894" s="17" t="s">
        <v>11</v>
      </c>
      <c r="T894" s="142"/>
      <c r="U894" s="142"/>
      <c r="V894" s="142"/>
      <c r="W894" s="142"/>
      <c r="X894" s="142"/>
      <c r="Y894" s="142"/>
      <c r="Z894" s="500"/>
      <c r="AA894" s="539"/>
      <c r="AB894" s="21"/>
      <c r="AC894" s="21"/>
    </row>
    <row r="895" spans="1:46" s="6" customFormat="1" ht="13.5" customHeight="1" thickBot="1" x14ac:dyDescent="0.3">
      <c r="A895" s="120"/>
      <c r="B895" s="120"/>
      <c r="C895" s="307"/>
      <c r="D895" s="85"/>
      <c r="E895" s="86" t="s">
        <v>17</v>
      </c>
      <c r="F895" s="86" t="s">
        <v>410</v>
      </c>
      <c r="G895" s="141"/>
      <c r="H895" s="125"/>
      <c r="I895" s="125"/>
      <c r="J895" s="365" t="s">
        <v>6</v>
      </c>
      <c r="K895" s="333">
        <f>K894+K893</f>
        <v>36600</v>
      </c>
      <c r="L895" s="43">
        <f>L894+L893</f>
        <v>0</v>
      </c>
      <c r="M895" s="43">
        <f t="shared" ref="M895:R895" si="677">M894+M893</f>
        <v>0</v>
      </c>
      <c r="N895" s="43">
        <f t="shared" si="677"/>
        <v>0</v>
      </c>
      <c r="O895" s="43">
        <f t="shared" si="677"/>
        <v>10700</v>
      </c>
      <c r="P895" s="43">
        <f t="shared" si="677"/>
        <v>10500</v>
      </c>
      <c r="Q895" s="43">
        <f t="shared" si="677"/>
        <v>10300</v>
      </c>
      <c r="R895" s="43">
        <f t="shared" si="677"/>
        <v>5100</v>
      </c>
      <c r="S895" s="41" t="s">
        <v>11</v>
      </c>
      <c r="T895" s="43"/>
      <c r="U895" s="43"/>
      <c r="V895" s="43"/>
      <c r="W895" s="43"/>
      <c r="X895" s="43"/>
      <c r="Y895" s="43"/>
      <c r="Z895" s="499"/>
      <c r="AA895" s="538"/>
      <c r="AB895" s="43"/>
      <c r="AC895" s="43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</row>
    <row r="896" spans="1:46" s="2" customFormat="1" ht="12.75" customHeight="1" x14ac:dyDescent="0.25">
      <c r="A896" s="26" t="s">
        <v>98</v>
      </c>
      <c r="B896" s="26" t="s">
        <v>96</v>
      </c>
      <c r="C896" s="306"/>
      <c r="D896" s="33" t="s">
        <v>3</v>
      </c>
      <c r="E896" s="34">
        <v>41760</v>
      </c>
      <c r="F896" s="34" t="s">
        <v>258</v>
      </c>
      <c r="G896" s="35" t="s">
        <v>653</v>
      </c>
      <c r="H896" s="35">
        <v>31300256</v>
      </c>
      <c r="I896" s="35">
        <v>585106</v>
      </c>
      <c r="J896" s="2" t="s">
        <v>1</v>
      </c>
      <c r="K896" s="27">
        <v>50924</v>
      </c>
      <c r="L896" s="4">
        <v>0</v>
      </c>
      <c r="M896" s="4">
        <v>0</v>
      </c>
      <c r="N896" s="4">
        <v>0</v>
      </c>
      <c r="O896" s="4">
        <v>10924</v>
      </c>
      <c r="P896" s="283">
        <v>10000</v>
      </c>
      <c r="Q896" s="283">
        <v>10000</v>
      </c>
      <c r="R896" s="283">
        <v>10000</v>
      </c>
      <c r="S896" s="283">
        <v>10000</v>
      </c>
      <c r="T896" s="2" t="s">
        <v>11</v>
      </c>
      <c r="U896" s="283"/>
      <c r="V896" s="283"/>
      <c r="W896" s="283"/>
      <c r="X896" s="283"/>
      <c r="Y896" s="283"/>
      <c r="Z896" s="497"/>
      <c r="AA896" s="536"/>
      <c r="AB896" s="5"/>
      <c r="AC896" s="5"/>
    </row>
    <row r="897" spans="1:46" s="2" customFormat="1" ht="12.75" customHeight="1" x14ac:dyDescent="0.25">
      <c r="A897" s="400" t="s">
        <v>1104</v>
      </c>
      <c r="B897" s="26"/>
      <c r="C897" s="306"/>
      <c r="D897" s="33"/>
      <c r="E897" s="34" t="s">
        <v>12</v>
      </c>
      <c r="F897" s="34"/>
      <c r="G897" s="35" t="s">
        <v>655</v>
      </c>
      <c r="H897" s="35"/>
      <c r="I897" s="35"/>
      <c r="J897" s="17" t="s">
        <v>2</v>
      </c>
      <c r="K897" s="28">
        <v>3018.48</v>
      </c>
      <c r="L897" s="11">
        <v>0</v>
      </c>
      <c r="M897" s="11">
        <v>0</v>
      </c>
      <c r="N897" s="11">
        <v>0</v>
      </c>
      <c r="O897" s="11">
        <f>509.24+509.24</f>
        <v>1018.48</v>
      </c>
      <c r="P897" s="142">
        <f>400+400</f>
        <v>800</v>
      </c>
      <c r="Q897" s="142">
        <f>300+300</f>
        <v>600</v>
      </c>
      <c r="R897" s="142">
        <f>200+200</f>
        <v>400</v>
      </c>
      <c r="S897" s="142">
        <f>100+100</f>
        <v>200</v>
      </c>
      <c r="T897" s="17" t="s">
        <v>11</v>
      </c>
      <c r="U897" s="142"/>
      <c r="V897" s="142"/>
      <c r="W897" s="142"/>
      <c r="X897" s="142"/>
      <c r="Y897" s="142"/>
      <c r="Z897" s="500"/>
      <c r="AA897" s="539"/>
      <c r="AB897" s="21"/>
      <c r="AC897" s="21"/>
    </row>
    <row r="898" spans="1:46" s="6" customFormat="1" ht="13.5" customHeight="1" thickBot="1" x14ac:dyDescent="0.3">
      <c r="A898" s="120"/>
      <c r="B898" s="120"/>
      <c r="C898" s="307"/>
      <c r="D898" s="85"/>
      <c r="E898" s="86" t="s">
        <v>17</v>
      </c>
      <c r="F898" s="86" t="s">
        <v>410</v>
      </c>
      <c r="G898" s="125" t="s">
        <v>654</v>
      </c>
      <c r="H898" s="125"/>
      <c r="I898" s="125"/>
      <c r="J898" s="365" t="s">
        <v>6</v>
      </c>
      <c r="K898" s="330">
        <f>K897+K896</f>
        <v>53942.48</v>
      </c>
      <c r="L898" s="43">
        <f>L897+L896</f>
        <v>0</v>
      </c>
      <c r="M898" s="43">
        <f t="shared" ref="M898:S898" si="678">M897+M896</f>
        <v>0</v>
      </c>
      <c r="N898" s="43">
        <f t="shared" si="678"/>
        <v>0</v>
      </c>
      <c r="O898" s="43">
        <f t="shared" si="678"/>
        <v>11942.48</v>
      </c>
      <c r="P898" s="43">
        <f t="shared" si="678"/>
        <v>10800</v>
      </c>
      <c r="Q898" s="43">
        <f t="shared" si="678"/>
        <v>10600</v>
      </c>
      <c r="R898" s="43">
        <f t="shared" si="678"/>
        <v>10400</v>
      </c>
      <c r="S898" s="43">
        <f t="shared" si="678"/>
        <v>10200</v>
      </c>
      <c r="T898" s="41" t="s">
        <v>11</v>
      </c>
      <c r="U898" s="43"/>
      <c r="V898" s="43"/>
      <c r="W898" s="43"/>
      <c r="X898" s="43"/>
      <c r="Y898" s="43"/>
      <c r="Z898" s="499"/>
      <c r="AA898" s="538"/>
      <c r="AB898" s="43"/>
      <c r="AC898" s="43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</row>
    <row r="899" spans="1:46" s="2" customFormat="1" ht="12.75" customHeight="1" x14ac:dyDescent="0.25">
      <c r="A899" s="26" t="s">
        <v>102</v>
      </c>
      <c r="B899" s="26" t="s">
        <v>96</v>
      </c>
      <c r="C899" s="306"/>
      <c r="D899" s="33" t="s">
        <v>3</v>
      </c>
      <c r="E899" s="34">
        <v>41760</v>
      </c>
      <c r="F899" s="34" t="s">
        <v>258</v>
      </c>
      <c r="G899" s="35" t="s">
        <v>656</v>
      </c>
      <c r="H899" s="35">
        <v>31122256</v>
      </c>
      <c r="I899" s="35">
        <v>584007</v>
      </c>
      <c r="J899" s="2" t="s">
        <v>1</v>
      </c>
      <c r="K899" s="27">
        <v>76440</v>
      </c>
      <c r="L899" s="4">
        <v>0</v>
      </c>
      <c r="M899" s="4">
        <v>0</v>
      </c>
      <c r="N899" s="4">
        <v>0</v>
      </c>
      <c r="O899" s="4">
        <v>16440</v>
      </c>
      <c r="P899" s="283">
        <v>15000</v>
      </c>
      <c r="Q899" s="283">
        <v>15000</v>
      </c>
      <c r="R899" s="283">
        <v>15000</v>
      </c>
      <c r="S899" s="283">
        <v>15000</v>
      </c>
      <c r="T899" s="2" t="s">
        <v>11</v>
      </c>
      <c r="U899" s="283"/>
      <c r="Z899" s="490"/>
      <c r="AA899" s="60"/>
    </row>
    <row r="900" spans="1:46" s="2" customFormat="1" ht="12.75" customHeight="1" x14ac:dyDescent="0.25">
      <c r="A900" s="26"/>
      <c r="B900" s="26"/>
      <c r="C900" s="306"/>
      <c r="D900" s="33"/>
      <c r="E900" s="34" t="s">
        <v>12</v>
      </c>
      <c r="F900" s="34"/>
      <c r="G900" s="35" t="s">
        <v>658</v>
      </c>
      <c r="H900" s="35"/>
      <c r="I900" s="35"/>
      <c r="J900" s="17" t="s">
        <v>2</v>
      </c>
      <c r="K900" s="28">
        <v>4528.8</v>
      </c>
      <c r="L900" s="11">
        <v>0</v>
      </c>
      <c r="M900" s="11">
        <v>0</v>
      </c>
      <c r="N900" s="11">
        <v>0</v>
      </c>
      <c r="O900" s="11">
        <f>764.4+764.4</f>
        <v>1528.8</v>
      </c>
      <c r="P900" s="142">
        <f>600+600</f>
        <v>1200</v>
      </c>
      <c r="Q900" s="142">
        <f>450+450</f>
        <v>900</v>
      </c>
      <c r="R900" s="142">
        <f>300+300</f>
        <v>600</v>
      </c>
      <c r="S900" s="142">
        <f>150+150</f>
        <v>300</v>
      </c>
      <c r="T900" s="17" t="s">
        <v>11</v>
      </c>
      <c r="U900" s="142"/>
      <c r="V900" s="17"/>
      <c r="W900" s="17"/>
      <c r="X900" s="17"/>
      <c r="Y900" s="17"/>
      <c r="Z900" s="491"/>
      <c r="AA900" s="532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</row>
    <row r="901" spans="1:46" s="6" customFormat="1" ht="13.5" customHeight="1" thickBot="1" x14ac:dyDescent="0.3">
      <c r="A901" s="120"/>
      <c r="B901" s="120"/>
      <c r="C901" s="307"/>
      <c r="D901" s="85"/>
      <c r="E901" s="86" t="s">
        <v>160</v>
      </c>
      <c r="F901" s="86" t="s">
        <v>410</v>
      </c>
      <c r="G901" s="125" t="s">
        <v>657</v>
      </c>
      <c r="H901" s="125"/>
      <c r="I901" s="125"/>
      <c r="J901" s="365" t="s">
        <v>6</v>
      </c>
      <c r="K901" s="330">
        <f>K900+K899</f>
        <v>80968.800000000003</v>
      </c>
      <c r="L901" s="43">
        <f>L900+L899</f>
        <v>0</v>
      </c>
      <c r="M901" s="43">
        <f t="shared" ref="M901:S901" si="679">M900+M899</f>
        <v>0</v>
      </c>
      <c r="N901" s="43">
        <f t="shared" si="679"/>
        <v>0</v>
      </c>
      <c r="O901" s="43">
        <f t="shared" si="679"/>
        <v>17968.8</v>
      </c>
      <c r="P901" s="43">
        <f t="shared" si="679"/>
        <v>16200</v>
      </c>
      <c r="Q901" s="43">
        <f t="shared" si="679"/>
        <v>15900</v>
      </c>
      <c r="R901" s="43">
        <f t="shared" si="679"/>
        <v>15600</v>
      </c>
      <c r="S901" s="43">
        <f t="shared" si="679"/>
        <v>15300</v>
      </c>
      <c r="T901" s="41" t="s">
        <v>11</v>
      </c>
      <c r="U901" s="43"/>
      <c r="V901" s="41"/>
      <c r="W901" s="41"/>
      <c r="X901" s="41"/>
      <c r="Y901" s="41"/>
      <c r="Z901" s="492"/>
      <c r="AA901" s="533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</row>
    <row r="902" spans="1:46" s="2" customFormat="1" ht="12.75" customHeight="1" x14ac:dyDescent="0.25">
      <c r="A902" s="26" t="s">
        <v>102</v>
      </c>
      <c r="B902" s="26" t="s">
        <v>96</v>
      </c>
      <c r="C902" s="306"/>
      <c r="D902" s="33" t="s">
        <v>3</v>
      </c>
      <c r="E902" s="34">
        <v>41760</v>
      </c>
      <c r="F902" s="34" t="s">
        <v>258</v>
      </c>
      <c r="G902" s="35" t="s">
        <v>659</v>
      </c>
      <c r="H902" s="35">
        <v>31422256</v>
      </c>
      <c r="I902" s="35">
        <v>587007</v>
      </c>
      <c r="J902" s="2" t="s">
        <v>1</v>
      </c>
      <c r="K902" s="338">
        <v>220000</v>
      </c>
      <c r="L902" s="4">
        <v>0</v>
      </c>
      <c r="M902" s="4">
        <v>0</v>
      </c>
      <c r="N902" s="4">
        <v>0</v>
      </c>
      <c r="O902" s="4">
        <v>45000</v>
      </c>
      <c r="P902" s="283">
        <v>45000</v>
      </c>
      <c r="Q902" s="283">
        <v>45000</v>
      </c>
      <c r="R902" s="283">
        <v>45000</v>
      </c>
      <c r="S902" s="283">
        <v>40000</v>
      </c>
      <c r="T902" s="2" t="s">
        <v>11</v>
      </c>
      <c r="U902" s="283"/>
      <c r="Z902" s="490"/>
      <c r="AA902" s="60"/>
    </row>
    <row r="903" spans="1:46" s="2" customFormat="1" ht="12.75" customHeight="1" x14ac:dyDescent="0.25">
      <c r="A903" s="26"/>
      <c r="B903" s="26"/>
      <c r="C903" s="306"/>
      <c r="D903" s="33"/>
      <c r="E903" s="34" t="s">
        <v>12</v>
      </c>
      <c r="F903" s="34"/>
      <c r="G903" s="35" t="s">
        <v>660</v>
      </c>
      <c r="H903" s="35"/>
      <c r="I903" s="35"/>
      <c r="J903" s="17" t="s">
        <v>2</v>
      </c>
      <c r="K903" s="334">
        <v>13000</v>
      </c>
      <c r="L903" s="11">
        <v>0</v>
      </c>
      <c r="M903" s="11">
        <v>0</v>
      </c>
      <c r="N903" s="11">
        <v>0</v>
      </c>
      <c r="O903" s="11">
        <f>2200+2200</f>
        <v>4400</v>
      </c>
      <c r="P903" s="142">
        <f>1750+1750</f>
        <v>3500</v>
      </c>
      <c r="Q903" s="142">
        <f>1300+1300</f>
        <v>2600</v>
      </c>
      <c r="R903" s="142">
        <f>850+850</f>
        <v>1700</v>
      </c>
      <c r="S903" s="142">
        <f>400+400</f>
        <v>800</v>
      </c>
      <c r="T903" s="17" t="s">
        <v>11</v>
      </c>
      <c r="U903" s="142"/>
      <c r="V903" s="17"/>
      <c r="W903" s="17"/>
      <c r="X903" s="17"/>
      <c r="Y903" s="17"/>
      <c r="Z903" s="491"/>
      <c r="AA903" s="532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</row>
    <row r="904" spans="1:46" s="6" customFormat="1" ht="13.5" customHeight="1" thickBot="1" x14ac:dyDescent="0.3">
      <c r="A904" s="120"/>
      <c r="B904" s="120"/>
      <c r="C904" s="307"/>
      <c r="D904" s="85"/>
      <c r="E904" s="86" t="s">
        <v>160</v>
      </c>
      <c r="F904" s="86" t="s">
        <v>410</v>
      </c>
      <c r="G904" s="141"/>
      <c r="H904" s="125"/>
      <c r="I904" s="125"/>
      <c r="J904" s="365" t="s">
        <v>6</v>
      </c>
      <c r="K904" s="333">
        <f>K903+K902</f>
        <v>233000</v>
      </c>
      <c r="L904" s="43">
        <f>L903+L902</f>
        <v>0</v>
      </c>
      <c r="M904" s="43">
        <f t="shared" ref="M904:S904" si="680">M903+M902</f>
        <v>0</v>
      </c>
      <c r="N904" s="43">
        <f t="shared" si="680"/>
        <v>0</v>
      </c>
      <c r="O904" s="43">
        <f t="shared" si="680"/>
        <v>49400</v>
      </c>
      <c r="P904" s="43">
        <f t="shared" si="680"/>
        <v>48500</v>
      </c>
      <c r="Q904" s="43">
        <f t="shared" si="680"/>
        <v>47600</v>
      </c>
      <c r="R904" s="43">
        <f t="shared" si="680"/>
        <v>46700</v>
      </c>
      <c r="S904" s="43">
        <f t="shared" si="680"/>
        <v>40800</v>
      </c>
      <c r="T904" s="41" t="s">
        <v>11</v>
      </c>
      <c r="U904" s="43"/>
      <c r="V904" s="41"/>
      <c r="W904" s="41"/>
      <c r="X904" s="41"/>
      <c r="Y904" s="41"/>
      <c r="Z904" s="492"/>
      <c r="AA904" s="533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</row>
    <row r="905" spans="1:46" s="2" customFormat="1" ht="12.75" customHeight="1" x14ac:dyDescent="0.25">
      <c r="A905" s="26" t="s">
        <v>99</v>
      </c>
      <c r="B905" s="26" t="s">
        <v>96</v>
      </c>
      <c r="C905" s="306"/>
      <c r="D905" s="33" t="s">
        <v>3</v>
      </c>
      <c r="E905" s="34">
        <v>41760</v>
      </c>
      <c r="F905" s="34" t="s">
        <v>356</v>
      </c>
      <c r="G905" s="35" t="s">
        <v>661</v>
      </c>
      <c r="H905" s="35">
        <v>31650256</v>
      </c>
      <c r="I905" s="35">
        <v>581500</v>
      </c>
      <c r="J905" s="2" t="s">
        <v>1</v>
      </c>
      <c r="K905" s="338">
        <v>60000</v>
      </c>
      <c r="L905" s="4">
        <v>0</v>
      </c>
      <c r="M905" s="4">
        <v>0</v>
      </c>
      <c r="N905" s="4">
        <v>0</v>
      </c>
      <c r="O905" s="4">
        <v>10000</v>
      </c>
      <c r="P905" s="283">
        <v>10000</v>
      </c>
      <c r="Q905" s="283">
        <v>10000</v>
      </c>
      <c r="R905" s="283">
        <v>10000</v>
      </c>
      <c r="S905" s="283">
        <v>10000</v>
      </c>
      <c r="T905" s="283">
        <v>10000</v>
      </c>
      <c r="U905" s="2" t="s">
        <v>11</v>
      </c>
      <c r="Z905" s="490"/>
      <c r="AA905" s="60"/>
    </row>
    <row r="906" spans="1:46" s="2" customFormat="1" ht="12.75" customHeight="1" x14ac:dyDescent="0.25">
      <c r="A906" s="400" t="s">
        <v>993</v>
      </c>
      <c r="B906" s="26"/>
      <c r="C906" s="306"/>
      <c r="D906" s="33"/>
      <c r="E906" s="34" t="s">
        <v>12</v>
      </c>
      <c r="F906" s="34"/>
      <c r="G906" s="35" t="s">
        <v>662</v>
      </c>
      <c r="H906" s="35"/>
      <c r="I906" s="35"/>
      <c r="J906" s="17" t="s">
        <v>2</v>
      </c>
      <c r="K906" s="334">
        <v>4200</v>
      </c>
      <c r="L906" s="11">
        <v>0</v>
      </c>
      <c r="M906" s="11">
        <v>0</v>
      </c>
      <c r="N906" s="11">
        <v>0</v>
      </c>
      <c r="O906" s="11">
        <f>600+600</f>
        <v>1200</v>
      </c>
      <c r="P906" s="142">
        <f>500+500</f>
        <v>1000</v>
      </c>
      <c r="Q906" s="142">
        <f>400+400</f>
        <v>800</v>
      </c>
      <c r="R906" s="142">
        <f>300+300</f>
        <v>600</v>
      </c>
      <c r="S906" s="142">
        <f>200+200</f>
        <v>400</v>
      </c>
      <c r="T906" s="142">
        <f>100+100</f>
        <v>200</v>
      </c>
      <c r="U906" s="17" t="s">
        <v>11</v>
      </c>
      <c r="V906" s="17"/>
      <c r="W906" s="17"/>
      <c r="X906" s="17"/>
      <c r="Y906" s="17"/>
      <c r="Z906" s="491"/>
      <c r="AA906" s="532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</row>
    <row r="907" spans="1:46" s="6" customFormat="1" ht="13.5" customHeight="1" thickBot="1" x14ac:dyDescent="0.3">
      <c r="A907" s="120"/>
      <c r="B907" s="120"/>
      <c r="C907" s="307"/>
      <c r="D907" s="85"/>
      <c r="E907" s="86" t="s">
        <v>15</v>
      </c>
      <c r="F907" s="86" t="s">
        <v>410</v>
      </c>
      <c r="G907" s="141"/>
      <c r="H907" s="125"/>
      <c r="I907" s="125"/>
      <c r="J907" s="365" t="s">
        <v>6</v>
      </c>
      <c r="K907" s="333">
        <f>K906+K905</f>
        <v>64200</v>
      </c>
      <c r="L907" s="43">
        <f>L906+L905</f>
        <v>0</v>
      </c>
      <c r="M907" s="43">
        <f t="shared" ref="M907:T907" si="681">M906+M905</f>
        <v>0</v>
      </c>
      <c r="N907" s="43">
        <f t="shared" si="681"/>
        <v>0</v>
      </c>
      <c r="O907" s="43">
        <f t="shared" si="681"/>
        <v>11200</v>
      </c>
      <c r="P907" s="43">
        <f t="shared" si="681"/>
        <v>11000</v>
      </c>
      <c r="Q907" s="43">
        <f t="shared" si="681"/>
        <v>10800</v>
      </c>
      <c r="R907" s="43">
        <f t="shared" si="681"/>
        <v>10600</v>
      </c>
      <c r="S907" s="43">
        <f t="shared" si="681"/>
        <v>10400</v>
      </c>
      <c r="T907" s="43">
        <f t="shared" si="681"/>
        <v>10200</v>
      </c>
      <c r="U907" s="41" t="s">
        <v>11</v>
      </c>
      <c r="V907" s="41"/>
      <c r="W907" s="41"/>
      <c r="X907" s="41"/>
      <c r="Y907" s="41"/>
      <c r="Z907" s="492"/>
      <c r="AA907" s="533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</row>
    <row r="908" spans="1:46" s="2" customFormat="1" ht="12.75" customHeight="1" x14ac:dyDescent="0.25">
      <c r="A908" s="26" t="s">
        <v>101</v>
      </c>
      <c r="B908" s="26" t="s">
        <v>96</v>
      </c>
      <c r="C908" s="306"/>
      <c r="D908" s="33" t="s">
        <v>3</v>
      </c>
      <c r="E908" s="34">
        <v>41760</v>
      </c>
      <c r="F908" s="34" t="s">
        <v>269</v>
      </c>
      <c r="G908" s="35" t="s">
        <v>663</v>
      </c>
      <c r="H908" s="35">
        <v>31192256</v>
      </c>
      <c r="I908" s="35">
        <v>582021</v>
      </c>
      <c r="J908" s="2" t="s">
        <v>1</v>
      </c>
      <c r="K908" s="27">
        <v>43265</v>
      </c>
      <c r="L908" s="4">
        <v>0</v>
      </c>
      <c r="M908" s="4">
        <v>0</v>
      </c>
      <c r="N908" s="4">
        <v>0</v>
      </c>
      <c r="O908" s="4">
        <v>13265</v>
      </c>
      <c r="P908" s="283">
        <v>10000</v>
      </c>
      <c r="Q908" s="283">
        <v>10000</v>
      </c>
      <c r="R908" s="283">
        <v>5000</v>
      </c>
      <c r="S908" s="283">
        <v>5000</v>
      </c>
      <c r="T908" s="2" t="s">
        <v>11</v>
      </c>
      <c r="U908" s="283"/>
      <c r="Z908" s="490"/>
      <c r="AA908" s="60"/>
    </row>
    <row r="909" spans="1:46" s="2" customFormat="1" ht="12.75" customHeight="1" x14ac:dyDescent="0.25">
      <c r="A909" s="26"/>
      <c r="B909" s="26"/>
      <c r="C909" s="306"/>
      <c r="D909" s="33"/>
      <c r="E909" s="34" t="s">
        <v>12</v>
      </c>
      <c r="F909" s="34"/>
      <c r="G909" s="35" t="s">
        <v>665</v>
      </c>
      <c r="H909" s="35"/>
      <c r="I909" s="35"/>
      <c r="J909" s="17" t="s">
        <v>2</v>
      </c>
      <c r="K909" s="28">
        <v>2165.3000000000002</v>
      </c>
      <c r="L909" s="11">
        <v>0</v>
      </c>
      <c r="M909" s="11">
        <v>0</v>
      </c>
      <c r="N909" s="11">
        <v>0</v>
      </c>
      <c r="O909" s="11">
        <f>432.65+432.65</f>
        <v>865.3</v>
      </c>
      <c r="P909" s="142">
        <f>300+300</f>
        <v>600</v>
      </c>
      <c r="Q909" s="142">
        <f>200+200</f>
        <v>400</v>
      </c>
      <c r="R909" s="142">
        <f>100+100</f>
        <v>200</v>
      </c>
      <c r="S909" s="142">
        <f>50+50</f>
        <v>100</v>
      </c>
      <c r="T909" s="17" t="s">
        <v>11</v>
      </c>
      <c r="U909" s="142"/>
      <c r="V909" s="17"/>
      <c r="W909" s="17"/>
      <c r="X909" s="17"/>
      <c r="Y909" s="17"/>
      <c r="Z909" s="491"/>
      <c r="AA909" s="532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</row>
    <row r="910" spans="1:46" s="6" customFormat="1" ht="13.5" customHeight="1" thickBot="1" x14ac:dyDescent="0.3">
      <c r="A910" s="120"/>
      <c r="B910" s="120"/>
      <c r="C910" s="307"/>
      <c r="D910" s="85"/>
      <c r="E910" s="86" t="s">
        <v>40</v>
      </c>
      <c r="F910" s="86" t="s">
        <v>410</v>
      </c>
      <c r="G910" s="125" t="s">
        <v>664</v>
      </c>
      <c r="H910" s="125"/>
      <c r="I910" s="125"/>
      <c r="J910" s="365" t="s">
        <v>6</v>
      </c>
      <c r="K910" s="330">
        <f>K909+K908</f>
        <v>45430.3</v>
      </c>
      <c r="L910" s="43">
        <f>L909+L908</f>
        <v>0</v>
      </c>
      <c r="M910" s="43">
        <f t="shared" ref="M910:S910" si="682">M909+M908</f>
        <v>0</v>
      </c>
      <c r="N910" s="43">
        <f t="shared" si="682"/>
        <v>0</v>
      </c>
      <c r="O910" s="43">
        <f t="shared" si="682"/>
        <v>14130.3</v>
      </c>
      <c r="P910" s="43">
        <f t="shared" si="682"/>
        <v>10600</v>
      </c>
      <c r="Q910" s="43">
        <f t="shared" si="682"/>
        <v>10400</v>
      </c>
      <c r="R910" s="43">
        <f t="shared" si="682"/>
        <v>5200</v>
      </c>
      <c r="S910" s="43">
        <f t="shared" si="682"/>
        <v>5100</v>
      </c>
      <c r="T910" s="41" t="s">
        <v>11</v>
      </c>
      <c r="U910" s="43"/>
      <c r="V910" s="41"/>
      <c r="W910" s="41"/>
      <c r="X910" s="41"/>
      <c r="Y910" s="41"/>
      <c r="Z910" s="492"/>
      <c r="AA910" s="533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</row>
    <row r="911" spans="1:46" s="2" customFormat="1" ht="12.75" customHeight="1" x14ac:dyDescent="0.25">
      <c r="A911" s="26" t="s">
        <v>102</v>
      </c>
      <c r="B911" s="26" t="s">
        <v>96</v>
      </c>
      <c r="C911" s="306"/>
      <c r="D911" s="33" t="s">
        <v>3</v>
      </c>
      <c r="E911" s="34">
        <v>41760</v>
      </c>
      <c r="F911" s="34" t="s">
        <v>258</v>
      </c>
      <c r="G911" s="35" t="s">
        <v>666</v>
      </c>
      <c r="H911" s="35">
        <v>31650256</v>
      </c>
      <c r="I911" s="35">
        <v>585001</v>
      </c>
      <c r="J911" s="2" t="s">
        <v>1</v>
      </c>
      <c r="K911" s="338">
        <v>30000</v>
      </c>
      <c r="L911" s="4">
        <v>0</v>
      </c>
      <c r="M911" s="4">
        <v>0</v>
      </c>
      <c r="N911" s="4">
        <v>0</v>
      </c>
      <c r="O911" s="4">
        <v>10000</v>
      </c>
      <c r="P911" s="283">
        <v>5000</v>
      </c>
      <c r="Q911" s="283">
        <v>5000</v>
      </c>
      <c r="R911" s="283">
        <v>5000</v>
      </c>
      <c r="S911" s="283">
        <v>5000</v>
      </c>
      <c r="T911" s="2" t="s">
        <v>11</v>
      </c>
      <c r="U911" s="283"/>
      <c r="Z911" s="490"/>
      <c r="AA911" s="60"/>
    </row>
    <row r="912" spans="1:46" s="2" customFormat="1" ht="12.75" customHeight="1" x14ac:dyDescent="0.25">
      <c r="A912" s="26"/>
      <c r="B912" s="26"/>
      <c r="C912" s="306"/>
      <c r="D912" s="33"/>
      <c r="E912" s="34" t="s">
        <v>12</v>
      </c>
      <c r="F912" s="34"/>
      <c r="G912" s="35" t="s">
        <v>667</v>
      </c>
      <c r="H912" s="35"/>
      <c r="I912" s="35"/>
      <c r="J912" s="17" t="s">
        <v>2</v>
      </c>
      <c r="K912" s="334">
        <v>1600</v>
      </c>
      <c r="L912" s="11">
        <v>0</v>
      </c>
      <c r="M912" s="11">
        <v>0</v>
      </c>
      <c r="N912" s="11">
        <v>0</v>
      </c>
      <c r="O912" s="11">
        <f>300+300</f>
        <v>600</v>
      </c>
      <c r="P912" s="142">
        <f>200+200</f>
        <v>400</v>
      </c>
      <c r="Q912" s="142">
        <f>150+150</f>
        <v>300</v>
      </c>
      <c r="R912" s="142">
        <f>100+100</f>
        <v>200</v>
      </c>
      <c r="S912" s="142">
        <f>50+50</f>
        <v>100</v>
      </c>
      <c r="T912" s="17" t="s">
        <v>11</v>
      </c>
      <c r="U912" s="142"/>
      <c r="V912" s="17"/>
      <c r="W912" s="17"/>
      <c r="X912" s="17"/>
      <c r="Y912" s="17"/>
      <c r="Z912" s="491"/>
      <c r="AA912" s="532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</row>
    <row r="913" spans="1:46" s="6" customFormat="1" ht="13.5" customHeight="1" thickBot="1" x14ac:dyDescent="0.3">
      <c r="A913" s="120"/>
      <c r="B913" s="120"/>
      <c r="C913" s="307"/>
      <c r="D913" s="85"/>
      <c r="E913" s="86" t="s">
        <v>160</v>
      </c>
      <c r="F913" s="86" t="s">
        <v>410</v>
      </c>
      <c r="G913" s="141"/>
      <c r="H913" s="125"/>
      <c r="I913" s="125"/>
      <c r="J913" s="365" t="s">
        <v>6</v>
      </c>
      <c r="K913" s="333">
        <f>K912+K911</f>
        <v>31600</v>
      </c>
      <c r="L913" s="43">
        <f>L912+L911</f>
        <v>0</v>
      </c>
      <c r="M913" s="43">
        <f t="shared" ref="M913:S913" si="683">M912+M911</f>
        <v>0</v>
      </c>
      <c r="N913" s="43">
        <f t="shared" si="683"/>
        <v>0</v>
      </c>
      <c r="O913" s="43">
        <f t="shared" si="683"/>
        <v>10600</v>
      </c>
      <c r="P913" s="43">
        <f t="shared" si="683"/>
        <v>5400</v>
      </c>
      <c r="Q913" s="43">
        <f t="shared" si="683"/>
        <v>5300</v>
      </c>
      <c r="R913" s="43">
        <f t="shared" si="683"/>
        <v>5200</v>
      </c>
      <c r="S913" s="43">
        <f t="shared" si="683"/>
        <v>5100</v>
      </c>
      <c r="T913" s="41" t="s">
        <v>11</v>
      </c>
      <c r="U913" s="43"/>
      <c r="V913" s="41"/>
      <c r="W913" s="41"/>
      <c r="X913" s="41"/>
      <c r="Y913" s="41"/>
      <c r="Z913" s="492"/>
      <c r="AA913" s="533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  <c r="AS913" s="41"/>
      <c r="AT913" s="41"/>
    </row>
    <row r="914" spans="1:46" s="2" customFormat="1" ht="12.75" customHeight="1" x14ac:dyDescent="0.25">
      <c r="A914" s="26" t="s">
        <v>101</v>
      </c>
      <c r="B914" s="26" t="s">
        <v>96</v>
      </c>
      <c r="C914" s="306"/>
      <c r="D914" s="33" t="s">
        <v>3</v>
      </c>
      <c r="E914" s="34">
        <v>41760</v>
      </c>
      <c r="F914" s="34" t="s">
        <v>269</v>
      </c>
      <c r="G914" s="35" t="s">
        <v>745</v>
      </c>
      <c r="H914" s="35">
        <v>31691256</v>
      </c>
      <c r="I914" s="35">
        <v>584001</v>
      </c>
      <c r="J914" s="2" t="s">
        <v>1</v>
      </c>
      <c r="K914" s="27">
        <v>50000</v>
      </c>
      <c r="L914" s="4">
        <v>0</v>
      </c>
      <c r="M914" s="4">
        <v>0</v>
      </c>
      <c r="N914" s="4">
        <v>0</v>
      </c>
      <c r="O914" s="4">
        <v>10000</v>
      </c>
      <c r="P914" s="283">
        <v>10000</v>
      </c>
      <c r="Q914" s="283">
        <v>10000</v>
      </c>
      <c r="R914" s="283">
        <v>10000</v>
      </c>
      <c r="S914" s="283">
        <v>10000</v>
      </c>
      <c r="T914" s="2" t="s">
        <v>11</v>
      </c>
      <c r="U914" s="283"/>
      <c r="Z914" s="490"/>
      <c r="AA914" s="60"/>
    </row>
    <row r="915" spans="1:46" s="2" customFormat="1" ht="12.75" customHeight="1" x14ac:dyDescent="0.25">
      <c r="A915" s="26"/>
      <c r="B915" s="26"/>
      <c r="C915" s="306"/>
      <c r="D915" s="33"/>
      <c r="E915" s="34" t="s">
        <v>12</v>
      </c>
      <c r="F915" s="34"/>
      <c r="G915" s="35" t="s">
        <v>668</v>
      </c>
      <c r="H915" s="35"/>
      <c r="I915" s="35"/>
      <c r="J915" s="17" t="s">
        <v>2</v>
      </c>
      <c r="K915" s="28">
        <v>3000</v>
      </c>
      <c r="L915" s="11">
        <v>0</v>
      </c>
      <c r="M915" s="11">
        <v>0</v>
      </c>
      <c r="N915" s="11">
        <v>0</v>
      </c>
      <c r="O915" s="11">
        <f>500+500</f>
        <v>1000</v>
      </c>
      <c r="P915" s="142">
        <f>400+400</f>
        <v>800</v>
      </c>
      <c r="Q915" s="142">
        <f>300+300</f>
        <v>600</v>
      </c>
      <c r="R915" s="142">
        <f>200+200</f>
        <v>400</v>
      </c>
      <c r="S915" s="142">
        <f>100+100</f>
        <v>200</v>
      </c>
      <c r="T915" s="17" t="s">
        <v>11</v>
      </c>
      <c r="U915" s="142"/>
      <c r="V915" s="17"/>
      <c r="W915" s="17"/>
      <c r="X915" s="17"/>
      <c r="Y915" s="17"/>
      <c r="Z915" s="491"/>
      <c r="AA915" s="532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</row>
    <row r="916" spans="1:46" s="6" customFormat="1" ht="13.5" customHeight="1" thickBot="1" x14ac:dyDescent="0.3">
      <c r="A916" s="120"/>
      <c r="B916" s="120"/>
      <c r="C916" s="307"/>
      <c r="D916" s="85"/>
      <c r="E916" s="86" t="s">
        <v>40</v>
      </c>
      <c r="F916" s="86" t="s">
        <v>410</v>
      </c>
      <c r="G916" s="125" t="s">
        <v>746</v>
      </c>
      <c r="H916" s="125"/>
      <c r="I916" s="125"/>
      <c r="J916" s="365" t="s">
        <v>6</v>
      </c>
      <c r="K916" s="330">
        <f>K915+K914</f>
        <v>53000</v>
      </c>
      <c r="L916" s="43">
        <f>L915+L914</f>
        <v>0</v>
      </c>
      <c r="M916" s="43">
        <f t="shared" ref="M916:S916" si="684">M915+M914</f>
        <v>0</v>
      </c>
      <c r="N916" s="43">
        <f t="shared" si="684"/>
        <v>0</v>
      </c>
      <c r="O916" s="43">
        <f t="shared" si="684"/>
        <v>11000</v>
      </c>
      <c r="P916" s="43">
        <f t="shared" si="684"/>
        <v>10800</v>
      </c>
      <c r="Q916" s="43">
        <f t="shared" si="684"/>
        <v>10600</v>
      </c>
      <c r="R916" s="43">
        <f t="shared" si="684"/>
        <v>10400</v>
      </c>
      <c r="S916" s="43">
        <f t="shared" si="684"/>
        <v>10200</v>
      </c>
      <c r="T916" s="41" t="s">
        <v>11</v>
      </c>
      <c r="U916" s="43"/>
      <c r="V916" s="41"/>
      <c r="W916" s="41"/>
      <c r="X916" s="41"/>
      <c r="Y916" s="41"/>
      <c r="Z916" s="492"/>
      <c r="AA916" s="533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</row>
    <row r="917" spans="1:46" s="2" customFormat="1" ht="12.75" customHeight="1" x14ac:dyDescent="0.25">
      <c r="A917" s="26" t="s">
        <v>102</v>
      </c>
      <c r="B917" s="26" t="s">
        <v>97</v>
      </c>
      <c r="C917" s="306"/>
      <c r="D917" s="33" t="s">
        <v>3</v>
      </c>
      <c r="E917" s="34">
        <v>41760</v>
      </c>
      <c r="F917" s="34" t="s">
        <v>258</v>
      </c>
      <c r="G917" s="35" t="s">
        <v>669</v>
      </c>
      <c r="H917" s="35">
        <v>31421256</v>
      </c>
      <c r="I917" s="35">
        <v>585100</v>
      </c>
      <c r="J917" s="2" t="s">
        <v>1</v>
      </c>
      <c r="K917" s="338">
        <v>45000</v>
      </c>
      <c r="L917" s="4">
        <v>0</v>
      </c>
      <c r="M917" s="4">
        <v>0</v>
      </c>
      <c r="N917" s="4">
        <v>0</v>
      </c>
      <c r="O917" s="4">
        <v>10000</v>
      </c>
      <c r="P917" s="283">
        <v>10000</v>
      </c>
      <c r="Q917" s="283">
        <v>10000</v>
      </c>
      <c r="R917" s="283">
        <v>10000</v>
      </c>
      <c r="S917" s="283">
        <v>5000</v>
      </c>
      <c r="T917" s="2" t="s">
        <v>11</v>
      </c>
      <c r="Z917" s="490"/>
      <c r="AA917" s="60"/>
    </row>
    <row r="918" spans="1:46" s="2" customFormat="1" ht="12.75" customHeight="1" x14ac:dyDescent="0.25">
      <c r="A918" s="26"/>
      <c r="B918" s="26"/>
      <c r="C918" s="306"/>
      <c r="D918" s="33"/>
      <c r="E918" s="34" t="s">
        <v>12</v>
      </c>
      <c r="F918" s="34"/>
      <c r="G918" s="35" t="s">
        <v>670</v>
      </c>
      <c r="H918" s="35"/>
      <c r="I918" s="35"/>
      <c r="J918" s="17" t="s">
        <v>2</v>
      </c>
      <c r="K918" s="334">
        <v>2500</v>
      </c>
      <c r="L918" s="11">
        <v>0</v>
      </c>
      <c r="M918" s="11">
        <v>0</v>
      </c>
      <c r="N918" s="11">
        <v>0</v>
      </c>
      <c r="O918" s="11">
        <f>450+450</f>
        <v>900</v>
      </c>
      <c r="P918" s="142">
        <f>350+350</f>
        <v>700</v>
      </c>
      <c r="Q918" s="142">
        <f>250+250</f>
        <v>500</v>
      </c>
      <c r="R918" s="142">
        <f>150+150</f>
        <v>300</v>
      </c>
      <c r="S918" s="142">
        <f>50+50</f>
        <v>100</v>
      </c>
      <c r="T918" s="17" t="s">
        <v>11</v>
      </c>
      <c r="Z918" s="490"/>
      <c r="AA918" s="60"/>
    </row>
    <row r="919" spans="1:46" s="6" customFormat="1" ht="13.5" customHeight="1" thickBot="1" x14ac:dyDescent="0.3">
      <c r="A919" s="120"/>
      <c r="B919" s="120"/>
      <c r="C919" s="307"/>
      <c r="D919" s="85"/>
      <c r="E919" s="86" t="s">
        <v>160</v>
      </c>
      <c r="F919" s="86" t="s">
        <v>410</v>
      </c>
      <c r="G919" s="141"/>
      <c r="H919" s="125"/>
      <c r="I919" s="125"/>
      <c r="J919" s="365" t="s">
        <v>6</v>
      </c>
      <c r="K919" s="333">
        <f>K918+K917</f>
        <v>47500</v>
      </c>
      <c r="L919" s="43">
        <f>L918+L917</f>
        <v>0</v>
      </c>
      <c r="M919" s="43">
        <f t="shared" ref="M919:S919" si="685">M918+M917</f>
        <v>0</v>
      </c>
      <c r="N919" s="43">
        <f t="shared" si="685"/>
        <v>0</v>
      </c>
      <c r="O919" s="43">
        <f t="shared" si="685"/>
        <v>10900</v>
      </c>
      <c r="P919" s="43">
        <f t="shared" si="685"/>
        <v>10700</v>
      </c>
      <c r="Q919" s="43">
        <f t="shared" si="685"/>
        <v>10500</v>
      </c>
      <c r="R919" s="43">
        <f t="shared" si="685"/>
        <v>10300</v>
      </c>
      <c r="S919" s="43">
        <f t="shared" si="685"/>
        <v>5100</v>
      </c>
      <c r="T919" s="41" t="s">
        <v>11</v>
      </c>
      <c r="U919" s="41"/>
      <c r="V919" s="41"/>
      <c r="W919" s="41"/>
      <c r="X919" s="41"/>
      <c r="Y919" s="41"/>
      <c r="Z919" s="492"/>
      <c r="AA919" s="533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</row>
    <row r="920" spans="1:46" s="2" customFormat="1" ht="12.75" customHeight="1" x14ac:dyDescent="0.25">
      <c r="A920" s="26" t="s">
        <v>102</v>
      </c>
      <c r="B920" s="26" t="s">
        <v>96</v>
      </c>
      <c r="C920" s="306"/>
      <c r="D920" s="33" t="s">
        <v>3</v>
      </c>
      <c r="E920" s="34">
        <v>41760</v>
      </c>
      <c r="F920" s="34" t="s">
        <v>258</v>
      </c>
      <c r="G920" s="35" t="s">
        <v>671</v>
      </c>
      <c r="H920" s="35">
        <v>31650256</v>
      </c>
      <c r="I920" s="35">
        <v>585011</v>
      </c>
      <c r="J920" s="2" t="s">
        <v>1</v>
      </c>
      <c r="K920" s="338">
        <v>21200</v>
      </c>
      <c r="L920" s="4">
        <v>0</v>
      </c>
      <c r="M920" s="4">
        <v>0</v>
      </c>
      <c r="N920" s="4">
        <v>0</v>
      </c>
      <c r="O920" s="4">
        <v>6200</v>
      </c>
      <c r="P920" s="283">
        <v>5000</v>
      </c>
      <c r="Q920" s="283">
        <v>5000</v>
      </c>
      <c r="R920" s="283">
        <v>5000</v>
      </c>
      <c r="S920" s="2" t="s">
        <v>11</v>
      </c>
      <c r="Z920" s="490"/>
      <c r="AA920" s="60"/>
    </row>
    <row r="921" spans="1:46" s="2" customFormat="1" ht="12.75" customHeight="1" x14ac:dyDescent="0.25">
      <c r="A921" s="26"/>
      <c r="B921" s="26"/>
      <c r="C921" s="306"/>
      <c r="D921" s="33"/>
      <c r="E921" s="34" t="s">
        <v>12</v>
      </c>
      <c r="F921" s="34"/>
      <c r="G921" s="35" t="s">
        <v>672</v>
      </c>
      <c r="H921" s="35"/>
      <c r="I921" s="35"/>
      <c r="J921" s="17" t="s">
        <v>2</v>
      </c>
      <c r="K921" s="334">
        <v>1024</v>
      </c>
      <c r="L921" s="11">
        <v>0</v>
      </c>
      <c r="M921" s="11">
        <v>0</v>
      </c>
      <c r="N921" s="11">
        <v>0</v>
      </c>
      <c r="O921" s="11">
        <f>212+212</f>
        <v>424</v>
      </c>
      <c r="P921" s="142">
        <f>150+150</f>
        <v>300</v>
      </c>
      <c r="Q921" s="142">
        <f>100+100</f>
        <v>200</v>
      </c>
      <c r="R921" s="142">
        <f>50+50</f>
        <v>100</v>
      </c>
      <c r="S921" s="17" t="s">
        <v>11</v>
      </c>
      <c r="Y921" s="17"/>
      <c r="Z921" s="491"/>
      <c r="AA921" s="532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</row>
    <row r="922" spans="1:46" s="6" customFormat="1" ht="13.5" customHeight="1" thickBot="1" x14ac:dyDescent="0.3">
      <c r="A922" s="120"/>
      <c r="B922" s="120"/>
      <c r="C922" s="307"/>
      <c r="D922" s="85"/>
      <c r="E922" s="86" t="s">
        <v>160</v>
      </c>
      <c r="F922" s="86" t="s">
        <v>410</v>
      </c>
      <c r="G922" s="141"/>
      <c r="H922" s="125"/>
      <c r="I922" s="125"/>
      <c r="J922" s="365" t="s">
        <v>6</v>
      </c>
      <c r="K922" s="333">
        <f>K921+K920</f>
        <v>22224</v>
      </c>
      <c r="L922" s="43">
        <f>L921+L920</f>
        <v>0</v>
      </c>
      <c r="M922" s="43">
        <f t="shared" ref="M922:R922" si="686">M921+M920</f>
        <v>0</v>
      </c>
      <c r="N922" s="43">
        <f t="shared" si="686"/>
        <v>0</v>
      </c>
      <c r="O922" s="43">
        <f t="shared" si="686"/>
        <v>6624</v>
      </c>
      <c r="P922" s="43">
        <f t="shared" si="686"/>
        <v>5300</v>
      </c>
      <c r="Q922" s="43">
        <f t="shared" si="686"/>
        <v>5200</v>
      </c>
      <c r="R922" s="43">
        <f t="shared" si="686"/>
        <v>5100</v>
      </c>
      <c r="S922" s="41" t="s">
        <v>11</v>
      </c>
      <c r="T922" s="41"/>
      <c r="U922" s="41"/>
      <c r="V922" s="41"/>
      <c r="W922" s="41"/>
      <c r="X922" s="41"/>
      <c r="Y922" s="41"/>
      <c r="Z922" s="492"/>
      <c r="AA922" s="533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  <c r="AS922" s="41"/>
      <c r="AT922" s="41"/>
    </row>
    <row r="923" spans="1:46" s="2" customFormat="1" ht="12.75" customHeight="1" x14ac:dyDescent="0.25">
      <c r="A923" s="26" t="s">
        <v>95</v>
      </c>
      <c r="B923" s="26" t="s">
        <v>96</v>
      </c>
      <c r="C923" s="306"/>
      <c r="D923" s="33" t="s">
        <v>3</v>
      </c>
      <c r="E923" s="34">
        <v>41760</v>
      </c>
      <c r="F923" s="34" t="s">
        <v>269</v>
      </c>
      <c r="G923" s="35" t="s">
        <v>673</v>
      </c>
      <c r="H923" s="35">
        <v>31300256</v>
      </c>
      <c r="I923" s="35">
        <v>582008</v>
      </c>
      <c r="J923" s="2" t="s">
        <v>1</v>
      </c>
      <c r="K923" s="338">
        <v>50000</v>
      </c>
      <c r="L923" s="4">
        <v>0</v>
      </c>
      <c r="M923" s="4">
        <v>0</v>
      </c>
      <c r="N923" s="4">
        <v>0</v>
      </c>
      <c r="O923" s="4">
        <v>10000</v>
      </c>
      <c r="P923" s="283">
        <v>10000</v>
      </c>
      <c r="Q923" s="283">
        <v>10000</v>
      </c>
      <c r="R923" s="283">
        <v>10000</v>
      </c>
      <c r="S923" s="283">
        <v>10000</v>
      </c>
      <c r="T923" s="2" t="s">
        <v>11</v>
      </c>
      <c r="Z923" s="490"/>
      <c r="AA923" s="60"/>
    </row>
    <row r="924" spans="1:46" s="2" customFormat="1" ht="12.75" customHeight="1" x14ac:dyDescent="0.25">
      <c r="A924" s="400" t="s">
        <v>1102</v>
      </c>
      <c r="B924" s="26"/>
      <c r="C924" s="306"/>
      <c r="D924" s="33"/>
      <c r="E924" s="34" t="s">
        <v>12</v>
      </c>
      <c r="F924" s="34"/>
      <c r="G924" s="35" t="s">
        <v>674</v>
      </c>
      <c r="H924" s="35"/>
      <c r="I924" s="35"/>
      <c r="J924" s="17" t="s">
        <v>2</v>
      </c>
      <c r="K924" s="334">
        <v>3000</v>
      </c>
      <c r="L924" s="11">
        <v>0</v>
      </c>
      <c r="M924" s="11">
        <v>0</v>
      </c>
      <c r="N924" s="11">
        <v>0</v>
      </c>
      <c r="O924" s="11">
        <f>500+500</f>
        <v>1000</v>
      </c>
      <c r="P924" s="142">
        <f>400+400</f>
        <v>800</v>
      </c>
      <c r="Q924" s="142">
        <f>300+300</f>
        <v>600</v>
      </c>
      <c r="R924" s="142">
        <f>200+200</f>
        <v>400</v>
      </c>
      <c r="S924" s="142">
        <f>100+100</f>
        <v>200</v>
      </c>
      <c r="T924" s="17" t="s">
        <v>11</v>
      </c>
      <c r="U924" s="17"/>
      <c r="V924" s="17"/>
      <c r="W924" s="17"/>
      <c r="X924" s="17"/>
      <c r="Y924" s="17"/>
      <c r="Z924" s="491"/>
      <c r="AA924" s="532"/>
      <c r="AB924" s="17"/>
      <c r="AC924" s="17"/>
    </row>
    <row r="925" spans="1:46" s="6" customFormat="1" ht="13.5" customHeight="1" thickBot="1" x14ac:dyDescent="0.3">
      <c r="A925" s="120"/>
      <c r="B925" s="120"/>
      <c r="C925" s="307"/>
      <c r="D925" s="85"/>
      <c r="E925" s="86" t="s">
        <v>161</v>
      </c>
      <c r="F925" s="86" t="s">
        <v>410</v>
      </c>
      <c r="G925" s="141"/>
      <c r="H925" s="125"/>
      <c r="I925" s="125"/>
      <c r="J925" s="365" t="s">
        <v>6</v>
      </c>
      <c r="K925" s="333">
        <f>K924+K923</f>
        <v>53000</v>
      </c>
      <c r="L925" s="43">
        <f>L924+L923</f>
        <v>0</v>
      </c>
      <c r="M925" s="43">
        <f t="shared" ref="M925:S925" si="687">M924+M923</f>
        <v>0</v>
      </c>
      <c r="N925" s="43">
        <f t="shared" si="687"/>
        <v>0</v>
      </c>
      <c r="O925" s="43">
        <f t="shared" si="687"/>
        <v>11000</v>
      </c>
      <c r="P925" s="43">
        <f t="shared" si="687"/>
        <v>10800</v>
      </c>
      <c r="Q925" s="43">
        <f t="shared" si="687"/>
        <v>10600</v>
      </c>
      <c r="R925" s="43">
        <f t="shared" si="687"/>
        <v>10400</v>
      </c>
      <c r="S925" s="43">
        <f t="shared" si="687"/>
        <v>10200</v>
      </c>
      <c r="T925" s="41" t="s">
        <v>11</v>
      </c>
      <c r="U925" s="41"/>
      <c r="V925" s="41"/>
      <c r="W925" s="41"/>
      <c r="X925" s="41"/>
      <c r="Y925" s="41"/>
      <c r="Z925" s="492"/>
      <c r="AA925" s="533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  <c r="AS925" s="41"/>
      <c r="AT925" s="41"/>
    </row>
    <row r="926" spans="1:46" s="2" customFormat="1" x14ac:dyDescent="0.25">
      <c r="A926" s="26" t="s">
        <v>102</v>
      </c>
      <c r="B926" s="26" t="s">
        <v>96</v>
      </c>
      <c r="C926" s="306"/>
      <c r="D926" s="33" t="s">
        <v>3</v>
      </c>
      <c r="E926" s="34">
        <v>41760</v>
      </c>
      <c r="F926" s="34" t="s">
        <v>258</v>
      </c>
      <c r="G926" s="314" t="s">
        <v>675</v>
      </c>
      <c r="H926" s="314">
        <v>31220261</v>
      </c>
      <c r="I926" s="314">
        <v>585104</v>
      </c>
      <c r="J926" s="2" t="s">
        <v>1</v>
      </c>
      <c r="K926" s="338">
        <v>450000</v>
      </c>
      <c r="L926" s="4">
        <v>0</v>
      </c>
      <c r="M926" s="4">
        <v>0</v>
      </c>
      <c r="N926" s="4">
        <v>0</v>
      </c>
      <c r="O926" s="4">
        <v>40000</v>
      </c>
      <c r="P926" s="283">
        <v>40000</v>
      </c>
      <c r="Q926" s="283">
        <v>45000</v>
      </c>
      <c r="R926" s="283">
        <v>45000</v>
      </c>
      <c r="S926" s="283">
        <v>45000</v>
      </c>
      <c r="T926" s="283">
        <v>45000</v>
      </c>
      <c r="U926" s="283">
        <v>45000</v>
      </c>
      <c r="V926" s="283">
        <v>45000</v>
      </c>
      <c r="W926" s="283">
        <v>50000</v>
      </c>
      <c r="X926" s="283">
        <v>50000</v>
      </c>
      <c r="Y926" s="367" t="s">
        <v>11</v>
      </c>
      <c r="Z926" s="490"/>
      <c r="AA926" s="60"/>
    </row>
    <row r="927" spans="1:46" s="2" customFormat="1" x14ac:dyDescent="0.25">
      <c r="A927" s="400" t="s">
        <v>994</v>
      </c>
      <c r="B927" s="26"/>
      <c r="C927" s="306"/>
      <c r="D927" s="33"/>
      <c r="E927" s="34" t="s">
        <v>12</v>
      </c>
      <c r="F927" s="34"/>
      <c r="G927" s="35" t="s">
        <v>676</v>
      </c>
      <c r="H927" s="35"/>
      <c r="I927" s="35"/>
      <c r="J927" s="17" t="s">
        <v>2</v>
      </c>
      <c r="K927" s="334">
        <v>52350</v>
      </c>
      <c r="L927" s="11">
        <v>0</v>
      </c>
      <c r="M927" s="11">
        <v>0</v>
      </c>
      <c r="N927" s="11">
        <v>0</v>
      </c>
      <c r="O927" s="11">
        <f>4562.5+4562.5</f>
        <v>9125</v>
      </c>
      <c r="P927" s="142">
        <f>4162.5+4162.5</f>
        <v>8325</v>
      </c>
      <c r="Q927" s="142">
        <f>3762.5+3762.5</f>
        <v>7525</v>
      </c>
      <c r="R927" s="142">
        <f>3312.5+3312.5</f>
        <v>6625</v>
      </c>
      <c r="S927" s="142">
        <f>2862.5+2862.5</f>
        <v>5725</v>
      </c>
      <c r="T927" s="142">
        <f>2412.5+2412.5</f>
        <v>4825</v>
      </c>
      <c r="U927" s="142">
        <f>1962.5+1962.5</f>
        <v>3925</v>
      </c>
      <c r="V927" s="142">
        <f>1512.5+1512.5</f>
        <v>3025</v>
      </c>
      <c r="W927" s="142">
        <f>1062.5+1062.5</f>
        <v>2125</v>
      </c>
      <c r="X927" s="142">
        <f>562.5+562.5</f>
        <v>1125</v>
      </c>
      <c r="Y927" s="368" t="s">
        <v>11</v>
      </c>
      <c r="Z927" s="491"/>
      <c r="AA927" s="532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</row>
    <row r="928" spans="1:46" s="6" customFormat="1" ht="13.8" thickBot="1" x14ac:dyDescent="0.3">
      <c r="A928" s="409" t="s">
        <v>1124</v>
      </c>
      <c r="B928" s="120"/>
      <c r="C928" s="307"/>
      <c r="D928" s="85"/>
      <c r="E928" s="86" t="s">
        <v>160</v>
      </c>
      <c r="F928" s="86" t="s">
        <v>409</v>
      </c>
      <c r="G928" s="141"/>
      <c r="H928" s="125"/>
      <c r="I928" s="125"/>
      <c r="J928" s="365" t="s">
        <v>6</v>
      </c>
      <c r="K928" s="333">
        <f>K927+K926</f>
        <v>502350</v>
      </c>
      <c r="L928" s="43">
        <f>L927+L926</f>
        <v>0</v>
      </c>
      <c r="M928" s="43">
        <f t="shared" ref="M928:X928" si="688">M927+M926</f>
        <v>0</v>
      </c>
      <c r="N928" s="43">
        <f t="shared" si="688"/>
        <v>0</v>
      </c>
      <c r="O928" s="43">
        <f t="shared" si="688"/>
        <v>49125</v>
      </c>
      <c r="P928" s="43">
        <f t="shared" si="688"/>
        <v>48325</v>
      </c>
      <c r="Q928" s="43">
        <f t="shared" si="688"/>
        <v>52525</v>
      </c>
      <c r="R928" s="43">
        <f t="shared" si="688"/>
        <v>51625</v>
      </c>
      <c r="S928" s="43">
        <f t="shared" si="688"/>
        <v>50725</v>
      </c>
      <c r="T928" s="43">
        <f t="shared" si="688"/>
        <v>49825</v>
      </c>
      <c r="U928" s="43">
        <f t="shared" si="688"/>
        <v>48925</v>
      </c>
      <c r="V928" s="43">
        <f t="shared" si="688"/>
        <v>48025</v>
      </c>
      <c r="W928" s="43">
        <f t="shared" si="688"/>
        <v>52125</v>
      </c>
      <c r="X928" s="43">
        <f t="shared" si="688"/>
        <v>51125</v>
      </c>
      <c r="Y928" s="41" t="s">
        <v>11</v>
      </c>
      <c r="Z928" s="492"/>
      <c r="AA928" s="533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  <c r="AS928" s="41"/>
      <c r="AT928" s="41"/>
    </row>
    <row r="929" spans="1:46" s="3" customFormat="1" x14ac:dyDescent="0.25">
      <c r="A929" s="121"/>
      <c r="B929" s="121"/>
      <c r="C929" s="306"/>
      <c r="D929" s="54"/>
      <c r="E929" s="54"/>
      <c r="F929" s="54"/>
      <c r="G929" s="36" t="s">
        <v>32</v>
      </c>
      <c r="H929" s="152">
        <v>1773919</v>
      </c>
      <c r="I929" s="36">
        <v>591100</v>
      </c>
      <c r="J929" s="33" t="s">
        <v>1</v>
      </c>
      <c r="K929" s="37">
        <f>K926+K923+K920+K917+K914+K911+K908+K905+K902+K899+K896+K893+K890+K887+K884+K881+K878+K875+K872+K869+K866+K863+K860+K857+K854+K851+K848+K845+K842+K839</f>
        <v>5982921</v>
      </c>
      <c r="L929" s="7">
        <v>0</v>
      </c>
      <c r="M929" s="7">
        <v>0</v>
      </c>
      <c r="N929" s="67">
        <f t="shared" ref="N929:R929" si="689">N926+N923+N920+N917+N914+N911+N908+N905+N902+N899+N896+N893+N890+N887+N884+N881+N878+N875+N872+N869+N866+N863+N860+N857+N854+N851+N848+N845+N842+N839</f>
        <v>0</v>
      </c>
      <c r="O929" s="67">
        <f t="shared" si="689"/>
        <v>607921</v>
      </c>
      <c r="P929" s="67">
        <f t="shared" si="689"/>
        <v>565000</v>
      </c>
      <c r="Q929" s="67">
        <f t="shared" si="689"/>
        <v>570000</v>
      </c>
      <c r="R929" s="67">
        <f t="shared" si="689"/>
        <v>555000</v>
      </c>
      <c r="S929" s="67">
        <f>S926+S923+S917+S914+S911+S908+S905+S902+S899+S896+S890+S887+S884+S881+S878+S875+S872+S869+S866+S863+S860+S857+S854+S851+S848+S845+S839</f>
        <v>515000</v>
      </c>
      <c r="T929" s="67">
        <f>T926+T905+T887+T881+T875+T860+T848+T845+T839</f>
        <v>280000</v>
      </c>
      <c r="U929" s="67">
        <f>U926+U887+U875+U860+U848+U845+U839</f>
        <v>270000</v>
      </c>
      <c r="V929" s="67">
        <f>V926+V887+V875+V860+V848+V845+V839</f>
        <v>275000</v>
      </c>
      <c r="W929" s="67">
        <f>W926+W887+W875+W860+W848+W845</f>
        <v>275000</v>
      </c>
      <c r="X929" s="67">
        <f>X926+X887+X875+X860+X848</f>
        <v>275000</v>
      </c>
      <c r="Y929" s="67">
        <f>Y875+Y848</f>
        <v>175000</v>
      </c>
      <c r="Z929" s="507">
        <f>Z875+Z848</f>
        <v>180000</v>
      </c>
      <c r="AA929" s="546">
        <f t="shared" ref="AA929:AB929" si="690">AA875+AA848</f>
        <v>185000</v>
      </c>
      <c r="AB929" s="67">
        <f t="shared" si="690"/>
        <v>195000</v>
      </c>
      <c r="AC929" s="67">
        <f>AC875+AC848</f>
        <v>195000</v>
      </c>
      <c r="AD929" s="67">
        <f>AD848</f>
        <v>160000</v>
      </c>
      <c r="AE929" s="67">
        <f t="shared" ref="AE929:AH929" si="691">AE848</f>
        <v>165000</v>
      </c>
      <c r="AF929" s="67">
        <f t="shared" si="691"/>
        <v>175000</v>
      </c>
      <c r="AG929" s="67">
        <f t="shared" si="691"/>
        <v>180000</v>
      </c>
      <c r="AH929" s="67">
        <f t="shared" si="691"/>
        <v>185000</v>
      </c>
      <c r="AI929" s="3" t="s">
        <v>11</v>
      </c>
    </row>
    <row r="930" spans="1:46" s="3" customFormat="1" x14ac:dyDescent="0.25">
      <c r="A930" s="121"/>
      <c r="B930" s="121"/>
      <c r="C930" s="306"/>
      <c r="D930" s="54"/>
      <c r="E930" s="54"/>
      <c r="F930" s="54"/>
      <c r="G930" s="33"/>
      <c r="H930" s="152">
        <v>1773919</v>
      </c>
      <c r="I930" s="33">
        <v>595100</v>
      </c>
      <c r="J930" s="38" t="s">
        <v>2</v>
      </c>
      <c r="K930" s="37">
        <f>K927+K924+K921+K918+K915+K912+K909+K906+K903+K900+K897+K894+K891+K888+K885+K882+K879+K876+K873+K870+K867+K864+K861+K858+K855+K852+K849+K846+K843+K840</f>
        <v>1247648.42</v>
      </c>
      <c r="L930" s="16">
        <v>0</v>
      </c>
      <c r="M930" s="16">
        <v>0</v>
      </c>
      <c r="N930" s="7">
        <f t="shared" ref="N930:R930" si="692">N927+N924+N921+N918+N915+N912+N909+N906+N903+N900+N897+N894+N891+N888+N885+N882+N879+N876+N873+N870+N867+N864+N861+N858+N855+N852+N849+N846+N843+N840</f>
        <v>0</v>
      </c>
      <c r="O930" s="7">
        <f t="shared" si="692"/>
        <v>139030.92000000001</v>
      </c>
      <c r="P930" s="7">
        <f t="shared" si="692"/>
        <v>126872.5</v>
      </c>
      <c r="Q930" s="7">
        <f t="shared" si="692"/>
        <v>115572.5</v>
      </c>
      <c r="R930" s="7">
        <f t="shared" si="692"/>
        <v>104172.5</v>
      </c>
      <c r="S930" s="7">
        <f>S927+S924+S918+S915+S912+S909+S906+S903+S900+S897+S891+S888+S885+S882+S879+S876+S873+S870+S867+S864+S861+S858+S855+S852+S849+S846+S840</f>
        <v>93072.5</v>
      </c>
      <c r="T930" s="7">
        <f>T927+T906+T888+T882+T876+T861+T849+T846+T840</f>
        <v>82772.5</v>
      </c>
      <c r="U930" s="7">
        <f>U927+U888+U876+U861+U849+U846+U840</f>
        <v>77172.5</v>
      </c>
      <c r="V930" s="7">
        <f>V927+V888+V876+V861+V849+V846+V840</f>
        <v>71772.5</v>
      </c>
      <c r="W930" s="7">
        <f>W927+W888+W876+W861+W849+W846</f>
        <v>66272.5</v>
      </c>
      <c r="X930" s="7">
        <f>X927+X888+X876+X861+X849</f>
        <v>60772.5</v>
      </c>
      <c r="Y930" s="7">
        <f>Y876+Y849</f>
        <v>54585</v>
      </c>
      <c r="Z930" s="501">
        <f>Z876+Z849</f>
        <v>49685</v>
      </c>
      <c r="AA930" s="540">
        <f t="shared" ref="AA930:AC930" si="693">AA876+AA849</f>
        <v>44645</v>
      </c>
      <c r="AB930" s="7">
        <f t="shared" si="693"/>
        <v>39465</v>
      </c>
      <c r="AC930" s="7">
        <f t="shared" si="693"/>
        <v>34005</v>
      </c>
      <c r="AD930" s="7">
        <f>AD849</f>
        <v>28545</v>
      </c>
      <c r="AE930" s="7">
        <f t="shared" ref="AE930:AH930" si="694">AE849</f>
        <v>23265</v>
      </c>
      <c r="AF930" s="7">
        <f t="shared" si="694"/>
        <v>17820</v>
      </c>
      <c r="AG930" s="7">
        <f t="shared" si="694"/>
        <v>12045</v>
      </c>
      <c r="AH930" s="7">
        <f t="shared" si="694"/>
        <v>6105</v>
      </c>
      <c r="AI930" s="20" t="s">
        <v>11</v>
      </c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</row>
    <row r="931" spans="1:46" s="8" customFormat="1" ht="13.8" thickBot="1" x14ac:dyDescent="0.3">
      <c r="A931" s="122"/>
      <c r="B931" s="122"/>
      <c r="C931" s="307"/>
      <c r="D931" s="85"/>
      <c r="E931" s="85"/>
      <c r="F931" s="85"/>
      <c r="G931" s="85"/>
      <c r="H931" s="85"/>
      <c r="I931" s="85"/>
      <c r="J931" s="44" t="s">
        <v>5</v>
      </c>
      <c r="K931" s="45">
        <f>K930+K929</f>
        <v>7230569.4199999999</v>
      </c>
      <c r="L931" s="46">
        <f>L930+L929</f>
        <v>0</v>
      </c>
      <c r="M931" s="46">
        <f t="shared" ref="M931:AH931" si="695">M930+M929</f>
        <v>0</v>
      </c>
      <c r="N931" s="46">
        <f t="shared" si="695"/>
        <v>0</v>
      </c>
      <c r="O931" s="46">
        <f t="shared" si="695"/>
        <v>746951.92</v>
      </c>
      <c r="P931" s="46">
        <f t="shared" si="695"/>
        <v>691872.5</v>
      </c>
      <c r="Q931" s="46">
        <f t="shared" si="695"/>
        <v>685572.5</v>
      </c>
      <c r="R931" s="46">
        <f t="shared" si="695"/>
        <v>659172.5</v>
      </c>
      <c r="S931" s="46">
        <f t="shared" si="695"/>
        <v>608072.5</v>
      </c>
      <c r="T931" s="46">
        <f t="shared" si="695"/>
        <v>362772.5</v>
      </c>
      <c r="U931" s="46">
        <f t="shared" si="695"/>
        <v>347172.5</v>
      </c>
      <c r="V931" s="46">
        <f t="shared" si="695"/>
        <v>346772.5</v>
      </c>
      <c r="W931" s="46">
        <f t="shared" si="695"/>
        <v>341272.5</v>
      </c>
      <c r="X931" s="46">
        <f t="shared" si="695"/>
        <v>335772.5</v>
      </c>
      <c r="Y931" s="46">
        <f t="shared" si="695"/>
        <v>229585</v>
      </c>
      <c r="Z931" s="503">
        <f t="shared" si="695"/>
        <v>229685</v>
      </c>
      <c r="AA931" s="542">
        <f t="shared" si="695"/>
        <v>229645</v>
      </c>
      <c r="AB931" s="46">
        <f t="shared" si="695"/>
        <v>234465</v>
      </c>
      <c r="AC931" s="46">
        <f t="shared" si="695"/>
        <v>229005</v>
      </c>
      <c r="AD931" s="46">
        <f t="shared" si="695"/>
        <v>188545</v>
      </c>
      <c r="AE931" s="46">
        <f t="shared" si="695"/>
        <v>188265</v>
      </c>
      <c r="AF931" s="46">
        <f t="shared" si="695"/>
        <v>192820</v>
      </c>
      <c r="AG931" s="46">
        <f t="shared" si="695"/>
        <v>192045</v>
      </c>
      <c r="AH931" s="46">
        <f t="shared" si="695"/>
        <v>191105</v>
      </c>
      <c r="AI931" s="47" t="s">
        <v>11</v>
      </c>
      <c r="AJ931" s="47"/>
      <c r="AK931" s="47"/>
      <c r="AL931" s="47"/>
      <c r="AM931" s="47"/>
      <c r="AN931" s="47"/>
      <c r="AO931" s="47"/>
      <c r="AP931" s="47"/>
      <c r="AQ931" s="47"/>
      <c r="AR931" s="47"/>
      <c r="AS931" s="47"/>
      <c r="AT931" s="47"/>
    </row>
    <row r="932" spans="1:46" s="6" customFormat="1" x14ac:dyDescent="0.25">
      <c r="A932" s="26" t="s">
        <v>0</v>
      </c>
      <c r="B932" s="26" t="s">
        <v>96</v>
      </c>
      <c r="C932" s="306"/>
      <c r="D932" s="14" t="s">
        <v>0</v>
      </c>
      <c r="E932" s="24">
        <v>41760</v>
      </c>
      <c r="F932" s="24" t="s">
        <v>266</v>
      </c>
      <c r="G932" s="315" t="s">
        <v>113</v>
      </c>
      <c r="H932" s="315">
        <v>60311230</v>
      </c>
      <c r="I932" s="315">
        <v>530000</v>
      </c>
      <c r="J932" s="2" t="s">
        <v>1</v>
      </c>
      <c r="K932" s="27">
        <v>145265</v>
      </c>
      <c r="L932" s="4">
        <v>0</v>
      </c>
      <c r="M932" s="4">
        <v>0</v>
      </c>
      <c r="N932" s="4">
        <v>0</v>
      </c>
      <c r="O932" s="4">
        <v>10265</v>
      </c>
      <c r="P932" s="283">
        <v>15000</v>
      </c>
      <c r="Q932" s="283">
        <v>15000</v>
      </c>
      <c r="R932" s="283">
        <v>15000</v>
      </c>
      <c r="S932" s="283">
        <v>15000</v>
      </c>
      <c r="T932" s="283">
        <v>15000</v>
      </c>
      <c r="U932" s="283">
        <v>15000</v>
      </c>
      <c r="V932" s="283">
        <v>15000</v>
      </c>
      <c r="W932" s="283">
        <v>15000</v>
      </c>
      <c r="X932" s="283">
        <v>15000</v>
      </c>
      <c r="Y932" s="2" t="s">
        <v>11</v>
      </c>
      <c r="Z932" s="490"/>
      <c r="AA932" s="60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1:46" s="6" customFormat="1" x14ac:dyDescent="0.25">
      <c r="A933" s="400" t="s">
        <v>995</v>
      </c>
      <c r="B933" s="26"/>
      <c r="C933" s="306"/>
      <c r="D933" s="14"/>
      <c r="E933" s="24" t="s">
        <v>12</v>
      </c>
      <c r="F933" s="331"/>
      <c r="G933" s="15" t="s">
        <v>801</v>
      </c>
      <c r="H933" s="15"/>
      <c r="I933" s="15"/>
      <c r="J933" s="17" t="s">
        <v>2</v>
      </c>
      <c r="K933" s="28">
        <v>16780.3</v>
      </c>
      <c r="L933" s="11">
        <v>0</v>
      </c>
      <c r="M933" s="11">
        <v>0</v>
      </c>
      <c r="N933" s="11">
        <v>0</v>
      </c>
      <c r="O933" s="11">
        <f>1471.4+1471.4</f>
        <v>2942.8</v>
      </c>
      <c r="P933" s="142">
        <f>1368.75+1368.75</f>
        <v>2737.5</v>
      </c>
      <c r="Q933" s="142">
        <f>1218.75+1218.75</f>
        <v>2437.5</v>
      </c>
      <c r="R933" s="142">
        <f>1068.75+1068.75</f>
        <v>2137.5</v>
      </c>
      <c r="S933" s="142">
        <f>918.75+918.75</f>
        <v>1837.5</v>
      </c>
      <c r="T933" s="142">
        <f>768.75+768.75</f>
        <v>1537.5</v>
      </c>
      <c r="U933" s="142">
        <f>618.75+618.75</f>
        <v>1237.5</v>
      </c>
      <c r="V933" s="142">
        <f>468.75+468.75</f>
        <v>937.5</v>
      </c>
      <c r="W933" s="142">
        <f>318.75+318.75</f>
        <v>637.5</v>
      </c>
      <c r="X933" s="142">
        <f>168.75+168.75</f>
        <v>337.5</v>
      </c>
      <c r="Y933" s="17" t="s">
        <v>11</v>
      </c>
      <c r="Z933" s="491"/>
      <c r="AA933" s="532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</row>
    <row r="934" spans="1:46" s="6" customFormat="1" ht="13.8" thickBot="1" x14ac:dyDescent="0.3">
      <c r="A934" s="409" t="s">
        <v>1124</v>
      </c>
      <c r="B934" s="120"/>
      <c r="C934" s="307"/>
      <c r="D934" s="87"/>
      <c r="E934" s="88" t="s">
        <v>14</v>
      </c>
      <c r="F934" s="88" t="s">
        <v>406</v>
      </c>
      <c r="G934" s="126" t="s">
        <v>840</v>
      </c>
      <c r="H934" s="150"/>
      <c r="I934" s="150"/>
      <c r="J934" s="41" t="s">
        <v>6</v>
      </c>
      <c r="K934" s="333">
        <f>K933+K932</f>
        <v>162045.29999999999</v>
      </c>
      <c r="L934" s="43">
        <f>L933+L932</f>
        <v>0</v>
      </c>
      <c r="M934" s="43">
        <f t="shared" ref="M934:X934" si="696">M933+M932</f>
        <v>0</v>
      </c>
      <c r="N934" s="43">
        <f t="shared" si="696"/>
        <v>0</v>
      </c>
      <c r="O934" s="43">
        <f t="shared" si="696"/>
        <v>13207.8</v>
      </c>
      <c r="P934" s="43">
        <f t="shared" si="696"/>
        <v>17737.5</v>
      </c>
      <c r="Q934" s="43">
        <f t="shared" si="696"/>
        <v>17437.5</v>
      </c>
      <c r="R934" s="43">
        <f t="shared" si="696"/>
        <v>17137.5</v>
      </c>
      <c r="S934" s="43">
        <f t="shared" si="696"/>
        <v>16837.5</v>
      </c>
      <c r="T934" s="43">
        <f t="shared" si="696"/>
        <v>16537.5</v>
      </c>
      <c r="U934" s="43">
        <f t="shared" si="696"/>
        <v>16237.5</v>
      </c>
      <c r="V934" s="43">
        <f t="shared" si="696"/>
        <v>15937.5</v>
      </c>
      <c r="W934" s="43">
        <f t="shared" si="696"/>
        <v>15637.5</v>
      </c>
      <c r="X934" s="43">
        <f t="shared" si="696"/>
        <v>15337.5</v>
      </c>
      <c r="Y934" s="41" t="s">
        <v>11</v>
      </c>
      <c r="Z934" s="492"/>
      <c r="AA934" s="533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</row>
    <row r="935" spans="1:46" s="6" customFormat="1" x14ac:dyDescent="0.25">
      <c r="A935" s="26" t="s">
        <v>0</v>
      </c>
      <c r="B935" s="26" t="s">
        <v>96</v>
      </c>
      <c r="C935" s="306"/>
      <c r="D935" s="14" t="s">
        <v>0</v>
      </c>
      <c r="E935" s="24">
        <v>41760</v>
      </c>
      <c r="F935" s="24" t="s">
        <v>266</v>
      </c>
      <c r="G935" s="315" t="s">
        <v>113</v>
      </c>
      <c r="H935" s="315">
        <v>60310241</v>
      </c>
      <c r="I935" s="315">
        <v>584009</v>
      </c>
      <c r="J935" s="2" t="s">
        <v>1</v>
      </c>
      <c r="K935" s="27">
        <v>600000</v>
      </c>
      <c r="L935" s="4">
        <v>0</v>
      </c>
      <c r="M935" s="4">
        <v>0</v>
      </c>
      <c r="N935" s="4">
        <v>0</v>
      </c>
      <c r="O935" s="4">
        <v>25000</v>
      </c>
      <c r="P935" s="283">
        <v>25000</v>
      </c>
      <c r="Q935" s="283">
        <v>25000</v>
      </c>
      <c r="R935" s="283">
        <v>25000</v>
      </c>
      <c r="S935" s="283">
        <v>25000</v>
      </c>
      <c r="T935" s="283">
        <v>25000</v>
      </c>
      <c r="U935" s="283">
        <v>25000</v>
      </c>
      <c r="V935" s="283">
        <v>30000</v>
      </c>
      <c r="W935" s="283">
        <v>30000</v>
      </c>
      <c r="X935" s="283">
        <v>30000</v>
      </c>
      <c r="Y935" s="283">
        <v>30000</v>
      </c>
      <c r="Z935" s="497">
        <v>30000</v>
      </c>
      <c r="AA935" s="536">
        <v>30000</v>
      </c>
      <c r="AB935" s="283">
        <v>30000</v>
      </c>
      <c r="AC935" s="283">
        <v>35000</v>
      </c>
      <c r="AD935" s="283">
        <v>35000</v>
      </c>
      <c r="AE935" s="283">
        <v>35000</v>
      </c>
      <c r="AF935" s="283">
        <v>35000</v>
      </c>
      <c r="AG935" s="283">
        <v>35000</v>
      </c>
      <c r="AH935" s="283">
        <v>40000</v>
      </c>
      <c r="AI935" s="2" t="s">
        <v>11</v>
      </c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1:46" s="6" customFormat="1" x14ac:dyDescent="0.25">
      <c r="A936" s="400" t="s">
        <v>996</v>
      </c>
      <c r="B936" s="26"/>
      <c r="C936" s="306"/>
      <c r="D936" s="14"/>
      <c r="E936" s="24" t="s">
        <v>12</v>
      </c>
      <c r="F936" s="331"/>
      <c r="G936" s="15" t="s">
        <v>246</v>
      </c>
      <c r="H936" s="15"/>
      <c r="I936" s="15"/>
      <c r="J936" s="17" t="s">
        <v>2</v>
      </c>
      <c r="K936" s="28">
        <v>194900</v>
      </c>
      <c r="L936" s="11">
        <v>0</v>
      </c>
      <c r="M936" s="11">
        <v>0</v>
      </c>
      <c r="N936" s="11">
        <v>0</v>
      </c>
      <c r="O936" s="11">
        <f>7827.5+7827.5</f>
        <v>15655</v>
      </c>
      <c r="P936" s="142">
        <f>7577.5+7577.5</f>
        <v>15155</v>
      </c>
      <c r="Q936" s="142">
        <f>7327.5+7327.5</f>
        <v>14655</v>
      </c>
      <c r="R936" s="142">
        <f>7077.5+7077.5</f>
        <v>14155</v>
      </c>
      <c r="S936" s="142">
        <f>6827.5+6827.5</f>
        <v>13655</v>
      </c>
      <c r="T936" s="142">
        <f>6577.5+6577.5</f>
        <v>13155</v>
      </c>
      <c r="U936" s="142">
        <f>6327.5+6327.5</f>
        <v>12655</v>
      </c>
      <c r="V936" s="142">
        <f>6077.5+6077.5</f>
        <v>12155</v>
      </c>
      <c r="W936" s="142">
        <f>5777.5+5777.5</f>
        <v>11555</v>
      </c>
      <c r="X936" s="142">
        <f>5477.5+5477.5</f>
        <v>10955</v>
      </c>
      <c r="Y936" s="142">
        <f>5140+5140</f>
        <v>10280</v>
      </c>
      <c r="Z936" s="500">
        <f>4720+4720</f>
        <v>9440</v>
      </c>
      <c r="AA936" s="539">
        <f>4300+4300</f>
        <v>8600</v>
      </c>
      <c r="AB936" s="142">
        <f>3880+3880</f>
        <v>7760</v>
      </c>
      <c r="AC936" s="142">
        <f>3460+3460</f>
        <v>6920</v>
      </c>
      <c r="AD936" s="142">
        <f>2970+2970</f>
        <v>5940</v>
      </c>
      <c r="AE936" s="142">
        <f>2392.5+2392.5</f>
        <v>4785</v>
      </c>
      <c r="AF936" s="142">
        <f>1815+1815</f>
        <v>3630</v>
      </c>
      <c r="AG936" s="142">
        <f>1237.5+1237.5</f>
        <v>2475</v>
      </c>
      <c r="AH936" s="142">
        <f>660+660</f>
        <v>1320</v>
      </c>
      <c r="AI936" s="17" t="s">
        <v>11</v>
      </c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</row>
    <row r="937" spans="1:46" s="6" customFormat="1" ht="13.8" thickBot="1" x14ac:dyDescent="0.3">
      <c r="A937" s="409" t="s">
        <v>1123</v>
      </c>
      <c r="B937" s="120"/>
      <c r="C937" s="307"/>
      <c r="D937" s="87"/>
      <c r="E937" s="88" t="s">
        <v>14</v>
      </c>
      <c r="F937" s="88" t="s">
        <v>406</v>
      </c>
      <c r="G937" s="126" t="s">
        <v>624</v>
      </c>
      <c r="H937" s="126"/>
      <c r="I937" s="126"/>
      <c r="J937" s="41" t="s">
        <v>6</v>
      </c>
      <c r="K937" s="330">
        <f>K936+K935</f>
        <v>794900</v>
      </c>
      <c r="L937" s="43">
        <f>L936+L935</f>
        <v>0</v>
      </c>
      <c r="M937" s="43">
        <f t="shared" ref="M937:AH937" si="697">M936+M935</f>
        <v>0</v>
      </c>
      <c r="N937" s="43">
        <f t="shared" si="697"/>
        <v>0</v>
      </c>
      <c r="O937" s="43">
        <f t="shared" si="697"/>
        <v>40655</v>
      </c>
      <c r="P937" s="43">
        <f t="shared" si="697"/>
        <v>40155</v>
      </c>
      <c r="Q937" s="43">
        <f t="shared" si="697"/>
        <v>39655</v>
      </c>
      <c r="R937" s="43">
        <f t="shared" si="697"/>
        <v>39155</v>
      </c>
      <c r="S937" s="43">
        <f t="shared" si="697"/>
        <v>38655</v>
      </c>
      <c r="T937" s="43">
        <f t="shared" si="697"/>
        <v>38155</v>
      </c>
      <c r="U937" s="43">
        <f t="shared" si="697"/>
        <v>37655</v>
      </c>
      <c r="V937" s="43">
        <f t="shared" si="697"/>
        <v>42155</v>
      </c>
      <c r="W937" s="43">
        <f t="shared" si="697"/>
        <v>41555</v>
      </c>
      <c r="X937" s="43">
        <f t="shared" si="697"/>
        <v>40955</v>
      </c>
      <c r="Y937" s="43">
        <f t="shared" si="697"/>
        <v>40280</v>
      </c>
      <c r="Z937" s="499">
        <f t="shared" si="697"/>
        <v>39440</v>
      </c>
      <c r="AA937" s="538">
        <f t="shared" si="697"/>
        <v>38600</v>
      </c>
      <c r="AB937" s="43">
        <f t="shared" si="697"/>
        <v>37760</v>
      </c>
      <c r="AC937" s="43">
        <f t="shared" si="697"/>
        <v>41920</v>
      </c>
      <c r="AD937" s="43">
        <f t="shared" si="697"/>
        <v>40940</v>
      </c>
      <c r="AE937" s="43">
        <f t="shared" si="697"/>
        <v>39785</v>
      </c>
      <c r="AF937" s="43">
        <f t="shared" si="697"/>
        <v>38630</v>
      </c>
      <c r="AG937" s="43">
        <f t="shared" si="697"/>
        <v>37475</v>
      </c>
      <c r="AH937" s="43">
        <f t="shared" si="697"/>
        <v>41320</v>
      </c>
      <c r="AI937" s="41" t="s">
        <v>11</v>
      </c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</row>
    <row r="938" spans="1:46" s="8" customFormat="1" x14ac:dyDescent="0.25">
      <c r="A938" s="121"/>
      <c r="B938" s="121"/>
      <c r="C938" s="306"/>
      <c r="D938" s="332"/>
      <c r="E938" s="332"/>
      <c r="F938" s="332"/>
      <c r="G938" s="13" t="s">
        <v>33</v>
      </c>
      <c r="H938" s="13">
        <v>60773919</v>
      </c>
      <c r="I938" s="13">
        <v>591100</v>
      </c>
      <c r="J938" s="14" t="s">
        <v>1</v>
      </c>
      <c r="K938" s="29">
        <f>K935+K932</f>
        <v>745265</v>
      </c>
      <c r="L938" s="7">
        <v>0</v>
      </c>
      <c r="M938" s="7">
        <v>0</v>
      </c>
      <c r="N938" s="67">
        <f>N932</f>
        <v>0</v>
      </c>
      <c r="O938" s="67">
        <f>O935+O932</f>
        <v>35265</v>
      </c>
      <c r="P938" s="67">
        <f>P935+P932</f>
        <v>40000</v>
      </c>
      <c r="Q938" s="67">
        <f t="shared" ref="Q938:X938" si="698">Q935+Q932</f>
        <v>40000</v>
      </c>
      <c r="R938" s="67">
        <f t="shared" si="698"/>
        <v>40000</v>
      </c>
      <c r="S938" s="67">
        <f t="shared" si="698"/>
        <v>40000</v>
      </c>
      <c r="T938" s="67">
        <f t="shared" si="698"/>
        <v>40000</v>
      </c>
      <c r="U938" s="67">
        <f t="shared" si="698"/>
        <v>40000</v>
      </c>
      <c r="V938" s="67">
        <f t="shared" si="698"/>
        <v>45000</v>
      </c>
      <c r="W938" s="67">
        <f t="shared" si="698"/>
        <v>45000</v>
      </c>
      <c r="X938" s="67">
        <f t="shared" si="698"/>
        <v>45000</v>
      </c>
      <c r="Y938" s="67">
        <f>Y935</f>
        <v>30000</v>
      </c>
      <c r="Z938" s="507">
        <f t="shared" ref="Z938:AH938" si="699">Z935</f>
        <v>30000</v>
      </c>
      <c r="AA938" s="546">
        <f t="shared" si="699"/>
        <v>30000</v>
      </c>
      <c r="AB938" s="67">
        <f t="shared" si="699"/>
        <v>30000</v>
      </c>
      <c r="AC938" s="67">
        <f t="shared" si="699"/>
        <v>35000</v>
      </c>
      <c r="AD938" s="67">
        <f t="shared" si="699"/>
        <v>35000</v>
      </c>
      <c r="AE938" s="67">
        <f t="shared" si="699"/>
        <v>35000</v>
      </c>
      <c r="AF938" s="67">
        <f t="shared" si="699"/>
        <v>35000</v>
      </c>
      <c r="AG938" s="67">
        <f t="shared" si="699"/>
        <v>35000</v>
      </c>
      <c r="AH938" s="67">
        <f t="shared" si="699"/>
        <v>40000</v>
      </c>
      <c r="AI938" s="3" t="s">
        <v>11</v>
      </c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 s="8" customFormat="1" x14ac:dyDescent="0.25">
      <c r="A939" s="121"/>
      <c r="B939" s="121"/>
      <c r="C939" s="306"/>
      <c r="D939" s="14"/>
      <c r="E939" s="14"/>
      <c r="F939" s="14"/>
      <c r="G939" s="14"/>
      <c r="H939" s="13">
        <v>60773919</v>
      </c>
      <c r="I939" s="14">
        <v>595100</v>
      </c>
      <c r="J939" s="18" t="s">
        <v>2</v>
      </c>
      <c r="K939" s="30">
        <f>K936+K933</f>
        <v>211680.3</v>
      </c>
      <c r="L939" s="16">
        <v>0</v>
      </c>
      <c r="M939" s="16">
        <v>0</v>
      </c>
      <c r="N939" s="16">
        <f>N933</f>
        <v>0</v>
      </c>
      <c r="O939" s="16">
        <f>O936+O933</f>
        <v>18597.8</v>
      </c>
      <c r="P939" s="16">
        <f>P936+P933</f>
        <v>17892.5</v>
      </c>
      <c r="Q939" s="16">
        <f t="shared" ref="Q939:X939" si="700">Q936+Q933</f>
        <v>17092.5</v>
      </c>
      <c r="R939" s="16">
        <f t="shared" si="700"/>
        <v>16292.5</v>
      </c>
      <c r="S939" s="16">
        <f t="shared" si="700"/>
        <v>15492.5</v>
      </c>
      <c r="T939" s="16">
        <f t="shared" si="700"/>
        <v>14692.5</v>
      </c>
      <c r="U939" s="16">
        <f t="shared" si="700"/>
        <v>13892.5</v>
      </c>
      <c r="V939" s="16">
        <f t="shared" si="700"/>
        <v>13092.5</v>
      </c>
      <c r="W939" s="16">
        <f t="shared" si="700"/>
        <v>12192.5</v>
      </c>
      <c r="X939" s="16">
        <f t="shared" si="700"/>
        <v>11292.5</v>
      </c>
      <c r="Y939" s="16">
        <f>Y936</f>
        <v>10280</v>
      </c>
      <c r="Z939" s="502">
        <f t="shared" ref="Z939:AH939" si="701">Z936</f>
        <v>9440</v>
      </c>
      <c r="AA939" s="541">
        <f t="shared" si="701"/>
        <v>8600</v>
      </c>
      <c r="AB939" s="16">
        <f t="shared" si="701"/>
        <v>7760</v>
      </c>
      <c r="AC939" s="16">
        <f t="shared" si="701"/>
        <v>6920</v>
      </c>
      <c r="AD939" s="16">
        <f t="shared" si="701"/>
        <v>5940</v>
      </c>
      <c r="AE939" s="16">
        <f t="shared" si="701"/>
        <v>4785</v>
      </c>
      <c r="AF939" s="16">
        <f t="shared" si="701"/>
        <v>3630</v>
      </c>
      <c r="AG939" s="16">
        <f t="shared" si="701"/>
        <v>2475</v>
      </c>
      <c r="AH939" s="16">
        <f t="shared" si="701"/>
        <v>1320</v>
      </c>
      <c r="AI939" s="20" t="s">
        <v>11</v>
      </c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</row>
    <row r="940" spans="1:46" s="8" customFormat="1" ht="13.8" thickBot="1" x14ac:dyDescent="0.3">
      <c r="A940" s="122"/>
      <c r="B940" s="122"/>
      <c r="C940" s="307"/>
      <c r="D940" s="87"/>
      <c r="E940" s="87"/>
      <c r="F940" s="87"/>
      <c r="G940" s="87"/>
      <c r="H940" s="87"/>
      <c r="I940" s="87"/>
      <c r="J940" s="50" t="s">
        <v>5</v>
      </c>
      <c r="K940" s="51">
        <f>K939+K938</f>
        <v>956945.3</v>
      </c>
      <c r="L940" s="46">
        <f>L939+L938</f>
        <v>0</v>
      </c>
      <c r="M940" s="46">
        <f t="shared" ref="M940" si="702">M939+M938</f>
        <v>0</v>
      </c>
      <c r="N940" s="46">
        <f>N939+N938</f>
        <v>0</v>
      </c>
      <c r="O940" s="46">
        <f t="shared" ref="O940" si="703">O939+O938</f>
        <v>53862.8</v>
      </c>
      <c r="P940" s="46">
        <f>P939+P938</f>
        <v>57892.5</v>
      </c>
      <c r="Q940" s="46">
        <f t="shared" ref="Q940:AH940" si="704">Q939+Q938</f>
        <v>57092.5</v>
      </c>
      <c r="R940" s="46">
        <f t="shared" si="704"/>
        <v>56292.5</v>
      </c>
      <c r="S940" s="46">
        <f t="shared" si="704"/>
        <v>55492.5</v>
      </c>
      <c r="T940" s="46">
        <f t="shared" si="704"/>
        <v>54692.5</v>
      </c>
      <c r="U940" s="46">
        <f t="shared" si="704"/>
        <v>53892.5</v>
      </c>
      <c r="V940" s="46">
        <f t="shared" si="704"/>
        <v>58092.5</v>
      </c>
      <c r="W940" s="46">
        <f t="shared" si="704"/>
        <v>57192.5</v>
      </c>
      <c r="X940" s="46">
        <f t="shared" si="704"/>
        <v>56292.5</v>
      </c>
      <c r="Y940" s="46">
        <f t="shared" si="704"/>
        <v>40280</v>
      </c>
      <c r="Z940" s="503">
        <f t="shared" si="704"/>
        <v>39440</v>
      </c>
      <c r="AA940" s="542">
        <f t="shared" si="704"/>
        <v>38600</v>
      </c>
      <c r="AB940" s="46">
        <f t="shared" si="704"/>
        <v>37760</v>
      </c>
      <c r="AC940" s="46">
        <f t="shared" si="704"/>
        <v>41920</v>
      </c>
      <c r="AD940" s="46">
        <f t="shared" si="704"/>
        <v>40940</v>
      </c>
      <c r="AE940" s="46">
        <f t="shared" si="704"/>
        <v>39785</v>
      </c>
      <c r="AF940" s="46">
        <f t="shared" si="704"/>
        <v>38630</v>
      </c>
      <c r="AG940" s="46">
        <f t="shared" si="704"/>
        <v>37475</v>
      </c>
      <c r="AH940" s="46">
        <f t="shared" si="704"/>
        <v>41320</v>
      </c>
      <c r="AI940" s="47" t="s">
        <v>11</v>
      </c>
      <c r="AJ940" s="47"/>
      <c r="AK940" s="47"/>
      <c r="AL940" s="47"/>
      <c r="AM940" s="47"/>
      <c r="AN940" s="47"/>
      <c r="AO940" s="47"/>
      <c r="AP940" s="47"/>
      <c r="AQ940" s="47"/>
      <c r="AR940" s="47"/>
      <c r="AS940" s="47"/>
      <c r="AT940" s="47"/>
    </row>
    <row r="941" spans="1:46" s="3" customFormat="1" x14ac:dyDescent="0.25">
      <c r="A941" s="121"/>
      <c r="B941" s="121"/>
      <c r="C941" s="306"/>
      <c r="D941" s="102"/>
      <c r="E941" s="285" t="s">
        <v>678</v>
      </c>
      <c r="F941" s="102"/>
      <c r="G941" s="103" t="s">
        <v>623</v>
      </c>
      <c r="H941" s="103"/>
      <c r="I941" s="103"/>
      <c r="J941" s="104" t="s">
        <v>1</v>
      </c>
      <c r="K941" s="105">
        <f>K938+K929</f>
        <v>6728186</v>
      </c>
      <c r="L941" s="7">
        <v>0</v>
      </c>
      <c r="M941" s="7">
        <v>0</v>
      </c>
      <c r="N941" s="67">
        <f t="shared" ref="N941:N942" si="705">N938+N929</f>
        <v>0</v>
      </c>
      <c r="O941" s="67">
        <f t="shared" ref="O941:Q942" si="706">O938+O929</f>
        <v>643186</v>
      </c>
      <c r="P941" s="67">
        <f t="shared" si="706"/>
        <v>605000</v>
      </c>
      <c r="Q941" s="67">
        <f t="shared" si="706"/>
        <v>610000</v>
      </c>
      <c r="R941" s="67">
        <f t="shared" ref="R941:AH941" si="707">R938+R929</f>
        <v>595000</v>
      </c>
      <c r="S941" s="67">
        <f t="shared" si="707"/>
        <v>555000</v>
      </c>
      <c r="T941" s="67">
        <f t="shared" si="707"/>
        <v>320000</v>
      </c>
      <c r="U941" s="67">
        <f t="shared" si="707"/>
        <v>310000</v>
      </c>
      <c r="V941" s="67">
        <f t="shared" si="707"/>
        <v>320000</v>
      </c>
      <c r="W941" s="67">
        <f t="shared" si="707"/>
        <v>320000</v>
      </c>
      <c r="X941" s="67">
        <f t="shared" si="707"/>
        <v>320000</v>
      </c>
      <c r="Y941" s="67">
        <f t="shared" si="707"/>
        <v>205000</v>
      </c>
      <c r="Z941" s="507">
        <f t="shared" si="707"/>
        <v>210000</v>
      </c>
      <c r="AA941" s="546">
        <f t="shared" si="707"/>
        <v>215000</v>
      </c>
      <c r="AB941" s="67">
        <f t="shared" si="707"/>
        <v>225000</v>
      </c>
      <c r="AC941" s="67">
        <f t="shared" si="707"/>
        <v>230000</v>
      </c>
      <c r="AD941" s="67">
        <f>AD938+AD929</f>
        <v>195000</v>
      </c>
      <c r="AE941" s="67">
        <f t="shared" si="707"/>
        <v>200000</v>
      </c>
      <c r="AF941" s="67">
        <f t="shared" si="707"/>
        <v>210000</v>
      </c>
      <c r="AG941" s="67">
        <f t="shared" si="707"/>
        <v>215000</v>
      </c>
      <c r="AH941" s="67">
        <f t="shared" si="707"/>
        <v>225000</v>
      </c>
      <c r="AI941" s="3" t="s">
        <v>11</v>
      </c>
    </row>
    <row r="942" spans="1:46" s="3" customFormat="1" ht="13.8" thickBot="1" x14ac:dyDescent="0.3">
      <c r="A942" s="121"/>
      <c r="B942" s="121"/>
      <c r="C942" s="306"/>
      <c r="D942" s="104"/>
      <c r="E942" s="285" t="s">
        <v>679</v>
      </c>
      <c r="F942" s="104"/>
      <c r="G942" s="103"/>
      <c r="H942" s="103"/>
      <c r="I942" s="103"/>
      <c r="J942" s="106" t="s">
        <v>2</v>
      </c>
      <c r="K942" s="107">
        <f>K939+K930</f>
        <v>1459328.72</v>
      </c>
      <c r="L942" s="22">
        <v>0</v>
      </c>
      <c r="M942" s="22">
        <v>0</v>
      </c>
      <c r="N942" s="22">
        <f t="shared" si="705"/>
        <v>0</v>
      </c>
      <c r="O942" s="22">
        <f t="shared" si="706"/>
        <v>157628.72</v>
      </c>
      <c r="P942" s="22">
        <f t="shared" si="706"/>
        <v>144765</v>
      </c>
      <c r="Q942" s="22">
        <f t="shared" si="706"/>
        <v>132665</v>
      </c>
      <c r="R942" s="22">
        <f t="shared" ref="R942:AH942" si="708">R939+R930</f>
        <v>120465</v>
      </c>
      <c r="S942" s="22">
        <f t="shared" si="708"/>
        <v>108565</v>
      </c>
      <c r="T942" s="22">
        <f t="shared" si="708"/>
        <v>97465</v>
      </c>
      <c r="U942" s="22">
        <f t="shared" si="708"/>
        <v>91065</v>
      </c>
      <c r="V942" s="22">
        <f t="shared" si="708"/>
        <v>84865</v>
      </c>
      <c r="W942" s="22">
        <f t="shared" si="708"/>
        <v>78465</v>
      </c>
      <c r="X942" s="22">
        <f t="shared" si="708"/>
        <v>72065</v>
      </c>
      <c r="Y942" s="22">
        <f t="shared" si="708"/>
        <v>64865</v>
      </c>
      <c r="Z942" s="506">
        <f t="shared" si="708"/>
        <v>59125</v>
      </c>
      <c r="AA942" s="545">
        <f t="shared" si="708"/>
        <v>53245</v>
      </c>
      <c r="AB942" s="22">
        <f t="shared" si="708"/>
        <v>47225</v>
      </c>
      <c r="AC942" s="22">
        <f t="shared" si="708"/>
        <v>40925</v>
      </c>
      <c r="AD942" s="22">
        <f>AD939+AD930</f>
        <v>34485</v>
      </c>
      <c r="AE942" s="22">
        <f t="shared" si="708"/>
        <v>28050</v>
      </c>
      <c r="AF942" s="22">
        <f t="shared" si="708"/>
        <v>21450</v>
      </c>
      <c r="AG942" s="22">
        <f t="shared" si="708"/>
        <v>14520</v>
      </c>
      <c r="AH942" s="22">
        <f t="shared" si="708"/>
        <v>7425</v>
      </c>
      <c r="AI942" s="23" t="s">
        <v>11</v>
      </c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</row>
    <row r="943" spans="1:46" s="6" customFormat="1" x14ac:dyDescent="0.25">
      <c r="A943" s="26"/>
      <c r="B943" s="26"/>
      <c r="C943" s="306"/>
      <c r="D943" s="108"/>
      <c r="E943" s="286" t="s">
        <v>677</v>
      </c>
      <c r="F943" s="108"/>
      <c r="G943" s="287" t="s">
        <v>809</v>
      </c>
      <c r="H943" s="103"/>
      <c r="I943" s="103"/>
      <c r="J943" s="109" t="s">
        <v>5</v>
      </c>
      <c r="K943" s="110">
        <f>K942+K941</f>
        <v>8187514.7199999997</v>
      </c>
      <c r="L943" s="67">
        <f>L942+L941</f>
        <v>0</v>
      </c>
      <c r="M943" s="67">
        <f>M942+M941</f>
        <v>0</v>
      </c>
      <c r="N943" s="282">
        <f>N942+N941</f>
        <v>0</v>
      </c>
      <c r="O943" s="282">
        <f t="shared" ref="O943:Q943" si="709">O942+O941</f>
        <v>800814.72</v>
      </c>
      <c r="P943" s="282">
        <f t="shared" si="709"/>
        <v>749765</v>
      </c>
      <c r="Q943" s="282">
        <f t="shared" si="709"/>
        <v>742665</v>
      </c>
      <c r="R943" s="282">
        <f t="shared" ref="R943:AH943" si="710">R942+R941</f>
        <v>715465</v>
      </c>
      <c r="S943" s="282">
        <f t="shared" si="710"/>
        <v>663565</v>
      </c>
      <c r="T943" s="282">
        <f t="shared" si="710"/>
        <v>417465</v>
      </c>
      <c r="U943" s="282">
        <f t="shared" si="710"/>
        <v>401065</v>
      </c>
      <c r="V943" s="282">
        <f t="shared" si="710"/>
        <v>404865</v>
      </c>
      <c r="W943" s="282">
        <f t="shared" si="710"/>
        <v>398465</v>
      </c>
      <c r="X943" s="282">
        <f t="shared" si="710"/>
        <v>392065</v>
      </c>
      <c r="Y943" s="282">
        <f t="shared" si="710"/>
        <v>269865</v>
      </c>
      <c r="Z943" s="508">
        <f t="shared" si="710"/>
        <v>269125</v>
      </c>
      <c r="AA943" s="551">
        <f t="shared" si="710"/>
        <v>268245</v>
      </c>
      <c r="AB943" s="282">
        <f t="shared" si="710"/>
        <v>272225</v>
      </c>
      <c r="AC943" s="282">
        <f t="shared" si="710"/>
        <v>270925</v>
      </c>
      <c r="AD943" s="282">
        <f>AD942+AD941</f>
        <v>229485</v>
      </c>
      <c r="AE943" s="282">
        <f t="shared" si="710"/>
        <v>228050</v>
      </c>
      <c r="AF943" s="282">
        <f t="shared" si="710"/>
        <v>231450</v>
      </c>
      <c r="AG943" s="282">
        <f t="shared" si="710"/>
        <v>229520</v>
      </c>
      <c r="AH943" s="282">
        <f t="shared" si="710"/>
        <v>232425</v>
      </c>
      <c r="AI943" s="134" t="s">
        <v>11</v>
      </c>
      <c r="AJ943" s="69"/>
      <c r="AK943" s="69"/>
      <c r="AL943" s="69"/>
      <c r="AM943" s="69"/>
      <c r="AN943" s="69"/>
      <c r="AO943" s="69"/>
      <c r="AP943" s="69"/>
      <c r="AQ943" s="69"/>
      <c r="AR943" s="69"/>
      <c r="AS943" s="69"/>
      <c r="AT943" s="69"/>
    </row>
    <row r="944" spans="1:46" s="2" customFormat="1" x14ac:dyDescent="0.25">
      <c r="A944" s="119"/>
      <c r="B944" s="119"/>
      <c r="C944" s="308"/>
      <c r="D944" s="49"/>
      <c r="E944" s="49"/>
      <c r="F944" s="49"/>
      <c r="G944" s="128" t="s">
        <v>805</v>
      </c>
      <c r="H944" s="128"/>
      <c r="I944" s="128"/>
      <c r="J944" s="48"/>
      <c r="K944" s="96"/>
      <c r="L944" s="97"/>
      <c r="M944" s="97"/>
      <c r="N944" s="97"/>
      <c r="O944" s="97"/>
      <c r="P944" s="98"/>
      <c r="Q944" s="98"/>
      <c r="R944" s="98"/>
      <c r="S944" s="98"/>
      <c r="T944" s="9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8"/>
      <c r="AQ944" s="48"/>
      <c r="AR944" s="48"/>
      <c r="AS944" s="48"/>
      <c r="AT944" s="48"/>
    </row>
    <row r="945" spans="1:46" s="2" customFormat="1" x14ac:dyDescent="0.25">
      <c r="A945" s="26" t="s">
        <v>99</v>
      </c>
      <c r="B945" s="26" t="s">
        <v>96</v>
      </c>
      <c r="C945" s="306"/>
      <c r="D945" s="54" t="s">
        <v>3</v>
      </c>
      <c r="E945" s="34">
        <v>42139</v>
      </c>
      <c r="F945" s="34" t="s">
        <v>356</v>
      </c>
      <c r="G945" s="313" t="s">
        <v>754</v>
      </c>
      <c r="H945" s="313">
        <v>31650263</v>
      </c>
      <c r="I945" s="313">
        <v>581500</v>
      </c>
      <c r="J945" s="2" t="s">
        <v>1</v>
      </c>
      <c r="K945" s="27">
        <v>315000</v>
      </c>
      <c r="L945" s="4">
        <v>0</v>
      </c>
      <c r="M945" s="4">
        <v>0</v>
      </c>
      <c r="N945" s="4">
        <v>0</v>
      </c>
      <c r="O945" s="4"/>
      <c r="P945" s="283">
        <v>25000</v>
      </c>
      <c r="Q945" s="283">
        <v>25000</v>
      </c>
      <c r="R945" s="283">
        <v>25000</v>
      </c>
      <c r="S945" s="283">
        <v>20000</v>
      </c>
      <c r="T945" s="283">
        <v>20000</v>
      </c>
      <c r="U945" s="283">
        <v>20000</v>
      </c>
      <c r="V945" s="283">
        <v>20000</v>
      </c>
      <c r="W945" s="283">
        <v>20000</v>
      </c>
      <c r="X945" s="283">
        <v>20000</v>
      </c>
      <c r="Y945" s="283">
        <v>20000</v>
      </c>
      <c r="Z945" s="497">
        <v>20000</v>
      </c>
      <c r="AA945" s="536">
        <v>20000</v>
      </c>
      <c r="AB945" s="5">
        <v>20000</v>
      </c>
      <c r="AC945" s="5">
        <v>20000</v>
      </c>
      <c r="AD945" s="5">
        <v>20000</v>
      </c>
      <c r="AE945" s="2" t="s">
        <v>11</v>
      </c>
    </row>
    <row r="946" spans="1:46" s="2" customFormat="1" x14ac:dyDescent="0.25">
      <c r="A946" s="400" t="s">
        <v>997</v>
      </c>
      <c r="B946" s="26"/>
      <c r="C946" s="306"/>
      <c r="D946" s="54"/>
      <c r="E946" s="34" t="s">
        <v>12</v>
      </c>
      <c r="F946" s="34"/>
      <c r="G946" s="35" t="s">
        <v>755</v>
      </c>
      <c r="H946" s="35"/>
      <c r="I946" s="35"/>
      <c r="J946" s="17" t="s">
        <v>2</v>
      </c>
      <c r="K946" s="347">
        <v>60950</v>
      </c>
      <c r="L946" s="11">
        <v>0</v>
      </c>
      <c r="M946" s="11">
        <v>0</v>
      </c>
      <c r="N946" s="11">
        <v>0</v>
      </c>
      <c r="O946" s="11"/>
      <c r="P946" s="142">
        <f>3700+3700</f>
        <v>7400</v>
      </c>
      <c r="Q946" s="142">
        <f>3450+3450</f>
        <v>6900</v>
      </c>
      <c r="R946" s="142">
        <f>3200+3200</f>
        <v>6400</v>
      </c>
      <c r="S946" s="142">
        <f>2950+2950</f>
        <v>5900</v>
      </c>
      <c r="T946" s="142">
        <f>2750+2750</f>
        <v>5500</v>
      </c>
      <c r="U946" s="142">
        <f>2550+2550</f>
        <v>5100</v>
      </c>
      <c r="V946" s="142">
        <f>2350+2350</f>
        <v>4700</v>
      </c>
      <c r="W946" s="142">
        <f>2050+2050</f>
        <v>4100</v>
      </c>
      <c r="X946" s="142">
        <f>1750+1750</f>
        <v>3500</v>
      </c>
      <c r="Y946" s="142">
        <f>1550+1550</f>
        <v>3100</v>
      </c>
      <c r="Z946" s="500">
        <f>1325+1325</f>
        <v>2650</v>
      </c>
      <c r="AA946" s="539">
        <f>1100+1100</f>
        <v>2200</v>
      </c>
      <c r="AB946" s="21">
        <f>850+850</f>
        <v>1700</v>
      </c>
      <c r="AC946" s="21">
        <f>600+600</f>
        <v>1200</v>
      </c>
      <c r="AD946" s="21">
        <f>300+300</f>
        <v>600</v>
      </c>
      <c r="AE946" s="17" t="s">
        <v>11</v>
      </c>
    </row>
    <row r="947" spans="1:46" s="6" customFormat="1" ht="13.8" thickBot="1" x14ac:dyDescent="0.3">
      <c r="A947" s="409" t="s">
        <v>1119</v>
      </c>
      <c r="B947" s="120"/>
      <c r="C947" s="307"/>
      <c r="D947" s="85"/>
      <c r="E947" s="86" t="s">
        <v>15</v>
      </c>
      <c r="F947" s="86" t="s">
        <v>412</v>
      </c>
      <c r="G947" s="125"/>
      <c r="H947" s="125"/>
      <c r="I947" s="125"/>
      <c r="J947" s="365" t="s">
        <v>6</v>
      </c>
      <c r="K947" s="350">
        <f>K946+K945</f>
        <v>375950</v>
      </c>
      <c r="L947" s="43">
        <f>L946+L945</f>
        <v>0</v>
      </c>
      <c r="M947" s="43">
        <f t="shared" ref="M947:R947" si="711">M946+M945</f>
        <v>0</v>
      </c>
      <c r="N947" s="43">
        <f t="shared" si="711"/>
        <v>0</v>
      </c>
      <c r="O947" s="43"/>
      <c r="P947" s="43">
        <f t="shared" si="711"/>
        <v>32400</v>
      </c>
      <c r="Q947" s="43">
        <f t="shared" si="711"/>
        <v>31900</v>
      </c>
      <c r="R947" s="43">
        <f t="shared" si="711"/>
        <v>31400</v>
      </c>
      <c r="S947" s="43">
        <f t="shared" ref="S947:U947" si="712">S946+S945</f>
        <v>25900</v>
      </c>
      <c r="T947" s="43">
        <f t="shared" si="712"/>
        <v>25500</v>
      </c>
      <c r="U947" s="43">
        <f t="shared" si="712"/>
        <v>25100</v>
      </c>
      <c r="V947" s="43">
        <f t="shared" ref="V947" si="713">V946+V945</f>
        <v>24700</v>
      </c>
      <c r="W947" s="43">
        <f t="shared" ref="W947:Z947" si="714">W946+W945</f>
        <v>24100</v>
      </c>
      <c r="X947" s="43">
        <f t="shared" si="714"/>
        <v>23500</v>
      </c>
      <c r="Y947" s="43">
        <f t="shared" si="714"/>
        <v>23100</v>
      </c>
      <c r="Z947" s="499">
        <f t="shared" si="714"/>
        <v>22650</v>
      </c>
      <c r="AA947" s="538">
        <f t="shared" ref="AA947:AC947" si="715">AA946+AA945</f>
        <v>22200</v>
      </c>
      <c r="AB947" s="43">
        <f t="shared" si="715"/>
        <v>21700</v>
      </c>
      <c r="AC947" s="43">
        <f t="shared" si="715"/>
        <v>21200</v>
      </c>
      <c r="AD947" s="43">
        <f t="shared" ref="AD947" si="716">AD946+AD945</f>
        <v>20600</v>
      </c>
      <c r="AE947" s="41" t="s">
        <v>11</v>
      </c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  <c r="AS947" s="41"/>
      <c r="AT947" s="41"/>
    </row>
    <row r="948" spans="1:46" s="2" customFormat="1" x14ac:dyDescent="0.25">
      <c r="A948" s="26" t="s">
        <v>102</v>
      </c>
      <c r="B948" s="26" t="s">
        <v>96</v>
      </c>
      <c r="C948" s="306"/>
      <c r="D948" s="54" t="s">
        <v>3</v>
      </c>
      <c r="E948" s="34">
        <v>42139</v>
      </c>
      <c r="F948" s="34" t="s">
        <v>269</v>
      </c>
      <c r="G948" s="314" t="s">
        <v>756</v>
      </c>
      <c r="H948" s="314">
        <v>31210263</v>
      </c>
      <c r="I948" s="314">
        <v>585002</v>
      </c>
      <c r="J948" s="2" t="s">
        <v>1</v>
      </c>
      <c r="K948" s="27">
        <v>475000</v>
      </c>
      <c r="L948" s="4">
        <v>0</v>
      </c>
      <c r="M948" s="4">
        <v>0</v>
      </c>
      <c r="N948" s="4">
        <v>0</v>
      </c>
      <c r="O948" s="4"/>
      <c r="P948" s="283">
        <v>50000</v>
      </c>
      <c r="Q948" s="283">
        <v>50000</v>
      </c>
      <c r="R948" s="283">
        <v>50000</v>
      </c>
      <c r="S948" s="283">
        <v>50000</v>
      </c>
      <c r="T948" s="283">
        <v>50000</v>
      </c>
      <c r="U948" s="283">
        <v>45000</v>
      </c>
      <c r="V948" s="283">
        <v>45000</v>
      </c>
      <c r="W948" s="283">
        <v>45000</v>
      </c>
      <c r="X948" s="283">
        <v>45000</v>
      </c>
      <c r="Y948" s="283">
        <v>45000</v>
      </c>
      <c r="Z948" s="490" t="s">
        <v>11</v>
      </c>
      <c r="AA948" s="60"/>
    </row>
    <row r="949" spans="1:46" s="2" customFormat="1" x14ac:dyDescent="0.25">
      <c r="A949" s="400" t="s">
        <v>998</v>
      </c>
      <c r="B949" s="26"/>
      <c r="C949" s="306"/>
      <c r="D949" s="54"/>
      <c r="E949" s="34" t="s">
        <v>12</v>
      </c>
      <c r="F949" s="34"/>
      <c r="G949" s="35" t="s">
        <v>757</v>
      </c>
      <c r="H949" s="35"/>
      <c r="I949" s="35"/>
      <c r="J949" s="17" t="s">
        <v>2</v>
      </c>
      <c r="K949" s="347">
        <v>58875</v>
      </c>
      <c r="L949" s="11">
        <v>0</v>
      </c>
      <c r="M949" s="11">
        <v>0</v>
      </c>
      <c r="N949" s="11">
        <v>0</v>
      </c>
      <c r="O949" s="11"/>
      <c r="P949" s="142">
        <f>5256.25+5256.25</f>
        <v>10512.5</v>
      </c>
      <c r="Q949" s="142">
        <f>4756.25+4756.25</f>
        <v>9512.5</v>
      </c>
      <c r="R949" s="142">
        <f>4256.25+4256.25</f>
        <v>8512.5</v>
      </c>
      <c r="S949" s="142">
        <f>3756.25+3756.25</f>
        <v>7512.5</v>
      </c>
      <c r="T949" s="142">
        <f>3256.25+3256.25</f>
        <v>6512.5</v>
      </c>
      <c r="U949" s="142">
        <f>2756.25+2756.25</f>
        <v>5512.5</v>
      </c>
      <c r="V949" s="142">
        <f>2306.25+2306.25</f>
        <v>4612.5</v>
      </c>
      <c r="W949" s="142">
        <f>1631.25+1631.25</f>
        <v>3262.5</v>
      </c>
      <c r="X949" s="142">
        <f>956.25+956.25</f>
        <v>1912.5</v>
      </c>
      <c r="Y949" s="142">
        <f>506.25+506.25</f>
        <v>1012.5</v>
      </c>
      <c r="Z949" s="491" t="s">
        <v>11</v>
      </c>
      <c r="AA949" s="532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</row>
    <row r="950" spans="1:46" s="6" customFormat="1" ht="13.8" thickBot="1" x14ac:dyDescent="0.3">
      <c r="A950" s="409" t="s">
        <v>1119</v>
      </c>
      <c r="B950" s="120"/>
      <c r="C950" s="307"/>
      <c r="D950" s="85"/>
      <c r="E950" s="86" t="s">
        <v>160</v>
      </c>
      <c r="F950" s="86" t="s">
        <v>409</v>
      </c>
      <c r="G950" s="125"/>
      <c r="H950" s="125"/>
      <c r="I950" s="125"/>
      <c r="J950" s="365" t="s">
        <v>6</v>
      </c>
      <c r="K950" s="350">
        <f>K949+K948</f>
        <v>533875</v>
      </c>
      <c r="L950" s="43">
        <f>L949+L948</f>
        <v>0</v>
      </c>
      <c r="M950" s="43">
        <f t="shared" ref="M950:R950" si="717">M949+M948</f>
        <v>0</v>
      </c>
      <c r="N950" s="43">
        <f t="shared" si="717"/>
        <v>0</v>
      </c>
      <c r="O950" s="43"/>
      <c r="P950" s="43">
        <f t="shared" si="717"/>
        <v>60512.5</v>
      </c>
      <c r="Q950" s="43">
        <f t="shared" si="717"/>
        <v>59512.5</v>
      </c>
      <c r="R950" s="43">
        <f t="shared" si="717"/>
        <v>58512.5</v>
      </c>
      <c r="S950" s="43">
        <f t="shared" ref="S950:T950" si="718">S949+S948</f>
        <v>57512.5</v>
      </c>
      <c r="T950" s="43">
        <f t="shared" si="718"/>
        <v>56512.5</v>
      </c>
      <c r="U950" s="43">
        <f t="shared" ref="U950:X950" si="719">U949+U948</f>
        <v>50512.5</v>
      </c>
      <c r="V950" s="43">
        <f t="shared" si="719"/>
        <v>49612.5</v>
      </c>
      <c r="W950" s="43">
        <f t="shared" si="719"/>
        <v>48262.5</v>
      </c>
      <c r="X950" s="43">
        <f t="shared" si="719"/>
        <v>46912.5</v>
      </c>
      <c r="Y950" s="43">
        <f t="shared" ref="Y950" si="720">Y949+Y948</f>
        <v>46012.5</v>
      </c>
      <c r="Z950" s="492" t="s">
        <v>11</v>
      </c>
      <c r="AA950" s="533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</row>
    <row r="951" spans="1:46" s="2" customFormat="1" x14ac:dyDescent="0.25">
      <c r="A951" s="26" t="s">
        <v>99</v>
      </c>
      <c r="B951" s="26" t="s">
        <v>96</v>
      </c>
      <c r="C951" s="306"/>
      <c r="D951" s="54" t="s">
        <v>3</v>
      </c>
      <c r="E951" s="34">
        <v>42139</v>
      </c>
      <c r="F951" s="34" t="s">
        <v>269</v>
      </c>
      <c r="G951" s="313" t="s">
        <v>758</v>
      </c>
      <c r="H951" s="313">
        <v>31122263</v>
      </c>
      <c r="I951" s="313">
        <v>585002</v>
      </c>
      <c r="J951" s="2" t="s">
        <v>1</v>
      </c>
      <c r="K951" s="27">
        <v>250000</v>
      </c>
      <c r="L951" s="4">
        <v>0</v>
      </c>
      <c r="M951" s="4">
        <v>0</v>
      </c>
      <c r="N951" s="4">
        <v>0</v>
      </c>
      <c r="O951" s="4"/>
      <c r="P951" s="283">
        <v>25000</v>
      </c>
      <c r="Q951" s="283">
        <v>25000</v>
      </c>
      <c r="R951" s="283">
        <v>25000</v>
      </c>
      <c r="S951" s="283">
        <v>25000</v>
      </c>
      <c r="T951" s="283">
        <v>25000</v>
      </c>
      <c r="U951" s="283">
        <v>25000</v>
      </c>
      <c r="V951" s="283">
        <v>25000</v>
      </c>
      <c r="W951" s="283">
        <v>25000</v>
      </c>
      <c r="X951" s="283">
        <v>25000</v>
      </c>
      <c r="Y951" s="283">
        <v>25000</v>
      </c>
      <c r="Z951" s="490" t="s">
        <v>11</v>
      </c>
      <c r="AA951" s="60"/>
    </row>
    <row r="952" spans="1:46" s="2" customFormat="1" x14ac:dyDescent="0.25">
      <c r="A952" s="400" t="s">
        <v>999</v>
      </c>
      <c r="B952" s="26"/>
      <c r="C952" s="306"/>
      <c r="D952" s="54"/>
      <c r="E952" s="34" t="s">
        <v>12</v>
      </c>
      <c r="F952" s="34"/>
      <c r="G952" s="35" t="s">
        <v>851</v>
      </c>
      <c r="H952" s="35"/>
      <c r="I952" s="35"/>
      <c r="J952" s="17" t="s">
        <v>2</v>
      </c>
      <c r="K952" s="347">
        <v>31875</v>
      </c>
      <c r="L952" s="11">
        <v>0</v>
      </c>
      <c r="M952" s="11">
        <v>0</v>
      </c>
      <c r="N952" s="11">
        <v>0</v>
      </c>
      <c r="O952" s="11"/>
      <c r="P952" s="142">
        <f>2781.25+2781.25</f>
        <v>5562.5</v>
      </c>
      <c r="Q952" s="142">
        <f>2531.25+2531.25</f>
        <v>5062.5</v>
      </c>
      <c r="R952" s="142">
        <f>2281.25+2281.25</f>
        <v>4562.5</v>
      </c>
      <c r="S952" s="142">
        <f>2031.25+2031.25</f>
        <v>4062.5</v>
      </c>
      <c r="T952" s="142">
        <f>1781.25+1781.25</f>
        <v>3562.5</v>
      </c>
      <c r="U952" s="142">
        <f>1531.25+1531.25</f>
        <v>3062.5</v>
      </c>
      <c r="V952" s="142">
        <f>1281.25+1281.25</f>
        <v>2562.5</v>
      </c>
      <c r="W952" s="142">
        <f>906.25+906.25</f>
        <v>1812.5</v>
      </c>
      <c r="X952" s="142">
        <f>531.25+531.25</f>
        <v>1062.5</v>
      </c>
      <c r="Y952" s="142">
        <f>281.25+281.25</f>
        <v>562.5</v>
      </c>
      <c r="Z952" s="491" t="s">
        <v>11</v>
      </c>
      <c r="AA952" s="532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</row>
    <row r="953" spans="1:46" s="6" customFormat="1" ht="13.8" thickBot="1" x14ac:dyDescent="0.3">
      <c r="A953" s="409" t="s">
        <v>1119</v>
      </c>
      <c r="B953" s="120"/>
      <c r="C953" s="307"/>
      <c r="D953" s="85"/>
      <c r="E953" s="86" t="s">
        <v>15</v>
      </c>
      <c r="F953" s="86" t="s">
        <v>412</v>
      </c>
      <c r="G953" s="125"/>
      <c r="H953" s="125"/>
      <c r="I953" s="125"/>
      <c r="J953" s="365" t="s">
        <v>6</v>
      </c>
      <c r="K953" s="350">
        <f>K952+K951</f>
        <v>281875</v>
      </c>
      <c r="L953" s="43">
        <f>L952+L951</f>
        <v>0</v>
      </c>
      <c r="M953" s="43">
        <f t="shared" ref="M953:V953" si="721">M952+M951</f>
        <v>0</v>
      </c>
      <c r="N953" s="43">
        <f t="shared" si="721"/>
        <v>0</v>
      </c>
      <c r="O953" s="43"/>
      <c r="P953" s="43">
        <f t="shared" si="721"/>
        <v>30562.5</v>
      </c>
      <c r="Q953" s="43">
        <f t="shared" si="721"/>
        <v>30062.5</v>
      </c>
      <c r="R953" s="43">
        <f t="shared" si="721"/>
        <v>29562.5</v>
      </c>
      <c r="S953" s="43">
        <f t="shared" si="721"/>
        <v>29062.5</v>
      </c>
      <c r="T953" s="43">
        <f t="shared" si="721"/>
        <v>28562.5</v>
      </c>
      <c r="U953" s="43">
        <f t="shared" si="721"/>
        <v>28062.5</v>
      </c>
      <c r="V953" s="43">
        <f t="shared" si="721"/>
        <v>27562.5</v>
      </c>
      <c r="W953" s="43">
        <f t="shared" ref="W953:Y953" si="722">W952+W951</f>
        <v>26812.5</v>
      </c>
      <c r="X953" s="43">
        <f t="shared" si="722"/>
        <v>26062.5</v>
      </c>
      <c r="Y953" s="43">
        <f t="shared" si="722"/>
        <v>25562.5</v>
      </c>
      <c r="Z953" s="492" t="s">
        <v>11</v>
      </c>
      <c r="AA953" s="533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</row>
    <row r="954" spans="1:46" s="2" customFormat="1" x14ac:dyDescent="0.25">
      <c r="A954" s="26" t="s">
        <v>102</v>
      </c>
      <c r="B954" s="26" t="s">
        <v>96</v>
      </c>
      <c r="C954" s="306"/>
      <c r="D954" s="54" t="s">
        <v>3</v>
      </c>
      <c r="E954" s="284">
        <v>42139</v>
      </c>
      <c r="F954" s="346" t="s">
        <v>258</v>
      </c>
      <c r="G954" s="35" t="s">
        <v>787</v>
      </c>
      <c r="H954" s="35">
        <v>31220263</v>
      </c>
      <c r="I954" s="35">
        <v>585101</v>
      </c>
      <c r="J954" s="2" t="s">
        <v>1</v>
      </c>
      <c r="K954" s="27">
        <v>250000</v>
      </c>
      <c r="L954" s="5"/>
      <c r="M954" s="4">
        <v>0</v>
      </c>
      <c r="N954" s="4">
        <v>0</v>
      </c>
      <c r="O954" s="4"/>
      <c r="P954" s="283">
        <v>50000</v>
      </c>
      <c r="Q954" s="283">
        <v>50000</v>
      </c>
      <c r="R954" s="283">
        <v>50000</v>
      </c>
      <c r="S954" s="283">
        <v>50000</v>
      </c>
      <c r="T954" s="283">
        <v>50000</v>
      </c>
      <c r="U954" s="2" t="s">
        <v>11</v>
      </c>
      <c r="Z954" s="490"/>
      <c r="AA954" s="60"/>
    </row>
    <row r="955" spans="1:46" s="2" customFormat="1" x14ac:dyDescent="0.25">
      <c r="A955" s="400" t="s">
        <v>1000</v>
      </c>
      <c r="B955" s="26"/>
      <c r="C955" s="306"/>
      <c r="D955" s="54"/>
      <c r="E955" s="34" t="s">
        <v>12</v>
      </c>
      <c r="F955" s="34"/>
      <c r="G955" s="35" t="s">
        <v>759</v>
      </c>
      <c r="H955" s="35"/>
      <c r="I955" s="35"/>
      <c r="J955" s="17" t="s">
        <v>2</v>
      </c>
      <c r="K955" s="347">
        <v>15000</v>
      </c>
      <c r="L955" s="21"/>
      <c r="M955" s="11">
        <v>0</v>
      </c>
      <c r="N955" s="11">
        <v>0</v>
      </c>
      <c r="O955" s="11"/>
      <c r="P955" s="142">
        <f>2500+2500</f>
        <v>5000</v>
      </c>
      <c r="Q955" s="142">
        <f>2000+2000</f>
        <v>4000</v>
      </c>
      <c r="R955" s="142">
        <f>1500+1500</f>
        <v>3000</v>
      </c>
      <c r="S955" s="142">
        <f>1000+1000</f>
        <v>2000</v>
      </c>
      <c r="T955" s="142">
        <f>500+500</f>
        <v>1000</v>
      </c>
      <c r="U955" s="17" t="s">
        <v>11</v>
      </c>
      <c r="V955" s="17"/>
      <c r="W955" s="17"/>
      <c r="X955" s="17"/>
      <c r="Y955" s="17"/>
      <c r="Z955" s="491"/>
      <c r="AA955" s="532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</row>
    <row r="956" spans="1:46" s="6" customFormat="1" ht="13.8" thickBot="1" x14ac:dyDescent="0.3">
      <c r="A956" s="120"/>
      <c r="B956" s="120"/>
      <c r="C956" s="307"/>
      <c r="D956" s="85"/>
      <c r="E956" s="86" t="s">
        <v>160</v>
      </c>
      <c r="F956" s="86" t="s">
        <v>410</v>
      </c>
      <c r="G956" s="125"/>
      <c r="H956" s="125"/>
      <c r="I956" s="125"/>
      <c r="J956" s="365" t="s">
        <v>6</v>
      </c>
      <c r="K956" s="350">
        <f>K955+K954</f>
        <v>265000</v>
      </c>
      <c r="L956" s="43">
        <f t="shared" ref="L956" si="723">L955+L954</f>
        <v>0</v>
      </c>
      <c r="M956" s="43">
        <f t="shared" ref="M956:T956" si="724">M955+M954</f>
        <v>0</v>
      </c>
      <c r="N956" s="43">
        <f t="shared" si="724"/>
        <v>0</v>
      </c>
      <c r="O956" s="43"/>
      <c r="P956" s="43">
        <f t="shared" si="724"/>
        <v>55000</v>
      </c>
      <c r="Q956" s="43">
        <f t="shared" si="724"/>
        <v>54000</v>
      </c>
      <c r="R956" s="43">
        <f t="shared" si="724"/>
        <v>53000</v>
      </c>
      <c r="S956" s="43">
        <f t="shared" si="724"/>
        <v>52000</v>
      </c>
      <c r="T956" s="43">
        <f t="shared" si="724"/>
        <v>51000</v>
      </c>
      <c r="U956" s="41" t="s">
        <v>11</v>
      </c>
      <c r="V956" s="41"/>
      <c r="W956" s="41"/>
      <c r="X956" s="41"/>
      <c r="Y956" s="41"/>
      <c r="Z956" s="492"/>
      <c r="AA956" s="533"/>
      <c r="AB956" s="41"/>
      <c r="AC956" s="41"/>
      <c r="AD956" s="41"/>
      <c r="AE956" s="41"/>
      <c r="AF956" s="41"/>
      <c r="AG956" s="41"/>
      <c r="AH956" s="41"/>
      <c r="AI956" s="41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</row>
    <row r="957" spans="1:46" s="2" customFormat="1" x14ac:dyDescent="0.25">
      <c r="A957" s="26" t="s">
        <v>102</v>
      </c>
      <c r="B957" s="26" t="s">
        <v>96</v>
      </c>
      <c r="C957" s="306"/>
      <c r="D957" s="54" t="s">
        <v>3</v>
      </c>
      <c r="E957" s="34">
        <v>42139</v>
      </c>
      <c r="F957" s="34" t="s">
        <v>259</v>
      </c>
      <c r="G957" s="314" t="s">
        <v>644</v>
      </c>
      <c r="H957" s="314">
        <v>31155263</v>
      </c>
      <c r="I957" s="314">
        <v>585002</v>
      </c>
      <c r="J957" s="2" t="s">
        <v>1</v>
      </c>
      <c r="K957" s="27">
        <v>100000</v>
      </c>
      <c r="L957" s="4">
        <v>0</v>
      </c>
      <c r="M957" s="4">
        <v>0</v>
      </c>
      <c r="N957" s="4">
        <v>0</v>
      </c>
      <c r="O957" s="4"/>
      <c r="P957" s="283">
        <v>10000</v>
      </c>
      <c r="Q957" s="283">
        <v>10000</v>
      </c>
      <c r="R957" s="283">
        <v>10000</v>
      </c>
      <c r="S957" s="283">
        <v>10000</v>
      </c>
      <c r="T957" s="283">
        <v>10000</v>
      </c>
      <c r="U957" s="283">
        <v>10000</v>
      </c>
      <c r="V957" s="283">
        <v>10000</v>
      </c>
      <c r="W957" s="283">
        <v>10000</v>
      </c>
      <c r="X957" s="283">
        <v>10000</v>
      </c>
      <c r="Y957" s="283">
        <v>10000</v>
      </c>
      <c r="Z957" s="490" t="s">
        <v>11</v>
      </c>
      <c r="AA957" s="60"/>
    </row>
    <row r="958" spans="1:46" s="2" customFormat="1" x14ac:dyDescent="0.25">
      <c r="A958" s="400" t="s">
        <v>1001</v>
      </c>
      <c r="B958" s="26"/>
      <c r="C958" s="306"/>
      <c r="D958" s="54"/>
      <c r="E958" s="34" t="s">
        <v>12</v>
      </c>
      <c r="F958" s="34"/>
      <c r="G958" s="35" t="s">
        <v>760</v>
      </c>
      <c r="H958" s="35"/>
      <c r="I958" s="35"/>
      <c r="J958" s="17" t="s">
        <v>2</v>
      </c>
      <c r="K958" s="347">
        <v>12750</v>
      </c>
      <c r="L958" s="11">
        <v>0</v>
      </c>
      <c r="M958" s="11">
        <v>0</v>
      </c>
      <c r="N958" s="11">
        <v>0</v>
      </c>
      <c r="O958" s="11"/>
      <c r="P958" s="142">
        <f>1112.5+1112.5</f>
        <v>2225</v>
      </c>
      <c r="Q958" s="142">
        <f>1012.5+1012.5</f>
        <v>2025</v>
      </c>
      <c r="R958" s="142">
        <f>912.5+912.5</f>
        <v>1825</v>
      </c>
      <c r="S958" s="142">
        <f>812.5+812.5</f>
        <v>1625</v>
      </c>
      <c r="T958" s="142">
        <f>712.5+712.5</f>
        <v>1425</v>
      </c>
      <c r="U958" s="142">
        <f>612.5+612.5</f>
        <v>1225</v>
      </c>
      <c r="V958" s="142">
        <f>512.5+512.5</f>
        <v>1025</v>
      </c>
      <c r="W958" s="142">
        <f>362.5+362.5</f>
        <v>725</v>
      </c>
      <c r="X958" s="142">
        <f>212.5+212.5</f>
        <v>425</v>
      </c>
      <c r="Y958" s="142">
        <f>112.5+112.5</f>
        <v>225</v>
      </c>
      <c r="Z958" s="491" t="s">
        <v>11</v>
      </c>
      <c r="AA958" s="532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</row>
    <row r="959" spans="1:46" s="6" customFormat="1" ht="13.8" thickBot="1" x14ac:dyDescent="0.3">
      <c r="A959" s="409" t="s">
        <v>1119</v>
      </c>
      <c r="B959" s="120"/>
      <c r="C959" s="307"/>
      <c r="D959" s="85"/>
      <c r="E959" s="86" t="s">
        <v>160</v>
      </c>
      <c r="F959" s="86" t="s">
        <v>412</v>
      </c>
      <c r="G959" s="125"/>
      <c r="H959" s="125"/>
      <c r="I959" s="125"/>
      <c r="J959" s="365" t="s">
        <v>6</v>
      </c>
      <c r="K959" s="350">
        <f>K958+K957</f>
        <v>112750</v>
      </c>
      <c r="L959" s="43">
        <f>L958+L957</f>
        <v>0</v>
      </c>
      <c r="M959" s="43">
        <f t="shared" ref="M959:S959" si="725">M958+M957</f>
        <v>0</v>
      </c>
      <c r="N959" s="43">
        <f t="shared" si="725"/>
        <v>0</v>
      </c>
      <c r="O959" s="43"/>
      <c r="P959" s="43">
        <f t="shared" si="725"/>
        <v>12225</v>
      </c>
      <c r="Q959" s="43">
        <f t="shared" si="725"/>
        <v>12025</v>
      </c>
      <c r="R959" s="43">
        <f t="shared" si="725"/>
        <v>11825</v>
      </c>
      <c r="S959" s="43">
        <f t="shared" si="725"/>
        <v>11625</v>
      </c>
      <c r="T959" s="43">
        <f t="shared" ref="T959:Y959" si="726">T958+T957</f>
        <v>11425</v>
      </c>
      <c r="U959" s="43">
        <f t="shared" si="726"/>
        <v>11225</v>
      </c>
      <c r="V959" s="43">
        <f t="shared" si="726"/>
        <v>11025</v>
      </c>
      <c r="W959" s="43">
        <f t="shared" si="726"/>
        <v>10725</v>
      </c>
      <c r="X959" s="43">
        <f t="shared" si="726"/>
        <v>10425</v>
      </c>
      <c r="Y959" s="43">
        <f t="shared" si="726"/>
        <v>10225</v>
      </c>
      <c r="Z959" s="492" t="s">
        <v>11</v>
      </c>
      <c r="AA959" s="533"/>
      <c r="AB959" s="41"/>
      <c r="AC959" s="41"/>
      <c r="AD959" s="41"/>
      <c r="AE959" s="41"/>
      <c r="AF959" s="41"/>
      <c r="AG959" s="41"/>
      <c r="AH959" s="41"/>
      <c r="AI959" s="41"/>
      <c r="AJ959" s="41"/>
      <c r="AK959" s="41"/>
      <c r="AL959" s="41"/>
      <c r="AM959" s="41"/>
      <c r="AN959" s="41"/>
      <c r="AO959" s="41"/>
      <c r="AP959" s="41"/>
      <c r="AQ959" s="41"/>
      <c r="AR959" s="41"/>
      <c r="AS959" s="41"/>
      <c r="AT959" s="41"/>
    </row>
    <row r="960" spans="1:46" s="2" customFormat="1" x14ac:dyDescent="0.25">
      <c r="A960" s="26" t="s">
        <v>102</v>
      </c>
      <c r="B960" s="26" t="s">
        <v>96</v>
      </c>
      <c r="C960" s="306"/>
      <c r="D960" s="54" t="s">
        <v>3</v>
      </c>
      <c r="E960" s="284">
        <v>42139</v>
      </c>
      <c r="F960" s="346" t="s">
        <v>258</v>
      </c>
      <c r="G960" s="35" t="s">
        <v>681</v>
      </c>
      <c r="H960" s="35">
        <v>31210263</v>
      </c>
      <c r="I960" s="35">
        <v>585100</v>
      </c>
      <c r="J960" s="2" t="s">
        <v>1</v>
      </c>
      <c r="K960" s="27">
        <v>183185</v>
      </c>
      <c r="L960" s="4">
        <v>0</v>
      </c>
      <c r="M960" s="4">
        <v>0</v>
      </c>
      <c r="N960" s="4">
        <v>0</v>
      </c>
      <c r="O960" s="4"/>
      <c r="P960" s="283">
        <v>43185</v>
      </c>
      <c r="Q960" s="283">
        <v>35000</v>
      </c>
      <c r="R960" s="283">
        <v>35000</v>
      </c>
      <c r="S960" s="283">
        <v>35000</v>
      </c>
      <c r="T960" s="283">
        <v>35000</v>
      </c>
      <c r="U960" s="2" t="s">
        <v>11</v>
      </c>
      <c r="Z960" s="490"/>
      <c r="AA960" s="60"/>
    </row>
    <row r="961" spans="1:46" s="2" customFormat="1" x14ac:dyDescent="0.25">
      <c r="A961" s="400" t="s">
        <v>1002</v>
      </c>
      <c r="B961" s="26"/>
      <c r="C961" s="306"/>
      <c r="D961" s="54"/>
      <c r="E961" s="34" t="s">
        <v>12</v>
      </c>
      <c r="F961" s="34"/>
      <c r="G961" s="35" t="s">
        <v>761</v>
      </c>
      <c r="H961" s="35"/>
      <c r="I961" s="35"/>
      <c r="J961" s="17" t="s">
        <v>2</v>
      </c>
      <c r="K961" s="347">
        <v>10663.7</v>
      </c>
      <c r="L961" s="11">
        <v>0</v>
      </c>
      <c r="M961" s="11">
        <v>0</v>
      </c>
      <c r="N961" s="11">
        <v>0</v>
      </c>
      <c r="O961" s="11"/>
      <c r="P961" s="142">
        <f>1831.85+1831.85</f>
        <v>3663.7</v>
      </c>
      <c r="Q961" s="142">
        <f>1400+1400</f>
        <v>2800</v>
      </c>
      <c r="R961" s="142">
        <f>1050+1050</f>
        <v>2100</v>
      </c>
      <c r="S961" s="142">
        <f>700+700</f>
        <v>1400</v>
      </c>
      <c r="T961" s="142">
        <f>350+350</f>
        <v>700</v>
      </c>
      <c r="U961" s="17" t="s">
        <v>11</v>
      </c>
      <c r="V961" s="17"/>
      <c r="W961" s="17"/>
      <c r="X961" s="17"/>
      <c r="Y961" s="17"/>
      <c r="Z961" s="491"/>
      <c r="AA961" s="532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</row>
    <row r="962" spans="1:46" s="6" customFormat="1" ht="13.8" thickBot="1" x14ac:dyDescent="0.3">
      <c r="A962" s="120"/>
      <c r="B962" s="120"/>
      <c r="C962" s="307"/>
      <c r="D962" s="85"/>
      <c r="E962" s="86" t="s">
        <v>160</v>
      </c>
      <c r="F962" s="86" t="s">
        <v>410</v>
      </c>
      <c r="G962" s="125"/>
      <c r="H962" s="125"/>
      <c r="I962" s="125"/>
      <c r="J962" s="365" t="s">
        <v>6</v>
      </c>
      <c r="K962" s="350">
        <f>K961+K960</f>
        <v>193848.7</v>
      </c>
      <c r="L962" s="43">
        <f>L961+L960</f>
        <v>0</v>
      </c>
      <c r="M962" s="43">
        <f t="shared" ref="M962:S962" si="727">M961+M960</f>
        <v>0</v>
      </c>
      <c r="N962" s="43">
        <f t="shared" si="727"/>
        <v>0</v>
      </c>
      <c r="O962" s="43"/>
      <c r="P962" s="43">
        <f t="shared" si="727"/>
        <v>46848.7</v>
      </c>
      <c r="Q962" s="43">
        <f t="shared" si="727"/>
        <v>37800</v>
      </c>
      <c r="R962" s="43">
        <f t="shared" si="727"/>
        <v>37100</v>
      </c>
      <c r="S962" s="43">
        <f t="shared" si="727"/>
        <v>36400</v>
      </c>
      <c r="T962" s="43">
        <f t="shared" ref="T962" si="728">T961+T960</f>
        <v>35700</v>
      </c>
      <c r="U962" s="41" t="s">
        <v>11</v>
      </c>
      <c r="V962" s="41"/>
      <c r="W962" s="41"/>
      <c r="X962" s="41"/>
      <c r="Y962" s="41"/>
      <c r="Z962" s="492"/>
      <c r="AA962" s="533"/>
      <c r="AB962" s="41"/>
      <c r="AC962" s="41"/>
      <c r="AD962" s="41"/>
      <c r="AE962" s="41"/>
      <c r="AF962" s="41"/>
      <c r="AG962" s="41"/>
      <c r="AH962" s="41"/>
      <c r="AI962" s="41"/>
      <c r="AJ962" s="41"/>
      <c r="AK962" s="41"/>
      <c r="AL962" s="41"/>
      <c r="AM962" s="41"/>
      <c r="AN962" s="41"/>
      <c r="AO962" s="41"/>
      <c r="AP962" s="41"/>
      <c r="AQ962" s="41"/>
      <c r="AR962" s="41"/>
      <c r="AS962" s="41"/>
      <c r="AT962" s="41"/>
    </row>
    <row r="963" spans="1:46" s="2" customFormat="1" x14ac:dyDescent="0.25">
      <c r="A963" s="26" t="s">
        <v>99</v>
      </c>
      <c r="B963" s="26" t="s">
        <v>96</v>
      </c>
      <c r="C963" s="306"/>
      <c r="D963" s="54" t="s">
        <v>3</v>
      </c>
      <c r="E963" s="34">
        <v>42139</v>
      </c>
      <c r="F963" s="34" t="s">
        <v>341</v>
      </c>
      <c r="G963" s="313" t="s">
        <v>457</v>
      </c>
      <c r="H963" s="313">
        <v>31422263</v>
      </c>
      <c r="I963" s="313">
        <v>586200</v>
      </c>
      <c r="J963" s="2" t="s">
        <v>1</v>
      </c>
      <c r="K963" s="27">
        <v>500000</v>
      </c>
      <c r="L963" s="4">
        <v>0</v>
      </c>
      <c r="M963" s="4">
        <v>0</v>
      </c>
      <c r="N963" s="4">
        <v>0</v>
      </c>
      <c r="O963" s="4"/>
      <c r="P963" s="283">
        <v>35000</v>
      </c>
      <c r="Q963" s="283">
        <v>35000</v>
      </c>
      <c r="R963" s="283">
        <v>35000</v>
      </c>
      <c r="S963" s="283">
        <v>35000</v>
      </c>
      <c r="T963" s="283">
        <v>35000</v>
      </c>
      <c r="U963" s="283">
        <v>35000</v>
      </c>
      <c r="V963" s="283">
        <v>35000</v>
      </c>
      <c r="W963" s="283">
        <v>35000</v>
      </c>
      <c r="X963" s="283">
        <v>35000</v>
      </c>
      <c r="Y963" s="283">
        <v>35000</v>
      </c>
      <c r="Z963" s="497">
        <v>30000</v>
      </c>
      <c r="AA963" s="536">
        <v>30000</v>
      </c>
      <c r="AB963" s="5">
        <v>30000</v>
      </c>
      <c r="AC963" s="5">
        <v>30000</v>
      </c>
      <c r="AD963" s="5">
        <v>30000</v>
      </c>
      <c r="AE963" s="2" t="s">
        <v>11</v>
      </c>
    </row>
    <row r="964" spans="1:46" s="2" customFormat="1" x14ac:dyDescent="0.25">
      <c r="A964" s="400" t="s">
        <v>1003</v>
      </c>
      <c r="B964" s="26"/>
      <c r="C964" s="306"/>
      <c r="D964" s="54"/>
      <c r="E964" s="34" t="s">
        <v>12</v>
      </c>
      <c r="F964" s="34"/>
      <c r="G964" s="35" t="s">
        <v>762</v>
      </c>
      <c r="H964" s="35"/>
      <c r="I964" s="35"/>
      <c r="J964" s="17" t="s">
        <v>2</v>
      </c>
      <c r="K964" s="347">
        <v>96900</v>
      </c>
      <c r="L964" s="11">
        <v>0</v>
      </c>
      <c r="M964" s="11">
        <v>0</v>
      </c>
      <c r="N964" s="11">
        <v>0</v>
      </c>
      <c r="O964" s="11"/>
      <c r="P964" s="142">
        <f>5881.25+5881.25</f>
        <v>11762.5</v>
      </c>
      <c r="Q964" s="142">
        <f>5531.25+5531.25</f>
        <v>11062.5</v>
      </c>
      <c r="R964" s="142">
        <f>5181.25+5181.25</f>
        <v>10362.5</v>
      </c>
      <c r="S964" s="142">
        <f>4831.25+4831.25</f>
        <v>9662.5</v>
      </c>
      <c r="T964" s="142">
        <f>4481.25+4481.25</f>
        <v>8962.5</v>
      </c>
      <c r="U964" s="142">
        <f>4131.25+4131.25</f>
        <v>8262.5</v>
      </c>
      <c r="V964" s="142">
        <f>3781.25+3781.25</f>
        <v>7562.5</v>
      </c>
      <c r="W964" s="142">
        <f>3256.25+3256.25</f>
        <v>6512.5</v>
      </c>
      <c r="X964" s="142">
        <f>2731.25+2731.25</f>
        <v>5462.5</v>
      </c>
      <c r="Y964" s="142">
        <f>2381.25+2381.25</f>
        <v>4762.5</v>
      </c>
      <c r="Z964" s="500">
        <f>1987.5+1987.5</f>
        <v>3975</v>
      </c>
      <c r="AA964" s="539">
        <f>1650+1650</f>
        <v>3300</v>
      </c>
      <c r="AB964" s="21">
        <f>1275+1275</f>
        <v>2550</v>
      </c>
      <c r="AC964" s="21">
        <f>900+900</f>
        <v>1800</v>
      </c>
      <c r="AD964" s="21">
        <f>450+450</f>
        <v>900</v>
      </c>
      <c r="AE964" s="17" t="s">
        <v>11</v>
      </c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</row>
    <row r="965" spans="1:46" s="6" customFormat="1" ht="13.8" thickBot="1" x14ac:dyDescent="0.3">
      <c r="A965" s="409" t="s">
        <v>1119</v>
      </c>
      <c r="B965" s="120"/>
      <c r="C965" s="307"/>
      <c r="D965" s="85"/>
      <c r="E965" s="86" t="s">
        <v>15</v>
      </c>
      <c r="F965" s="86" t="s">
        <v>405</v>
      </c>
      <c r="G965" s="125"/>
      <c r="H965" s="125"/>
      <c r="I965" s="125"/>
      <c r="J965" s="365" t="s">
        <v>6</v>
      </c>
      <c r="K965" s="350">
        <f>K964+K963</f>
        <v>596900</v>
      </c>
      <c r="L965" s="43">
        <f>L964+L963</f>
        <v>0</v>
      </c>
      <c r="M965" s="43">
        <f t="shared" ref="M965:R965" si="729">M964+M963</f>
        <v>0</v>
      </c>
      <c r="N965" s="43">
        <f t="shared" si="729"/>
        <v>0</v>
      </c>
      <c r="O965" s="43"/>
      <c r="P965" s="43">
        <f t="shared" si="729"/>
        <v>46762.5</v>
      </c>
      <c r="Q965" s="43">
        <f t="shared" si="729"/>
        <v>46062.5</v>
      </c>
      <c r="R965" s="43">
        <f t="shared" si="729"/>
        <v>45362.5</v>
      </c>
      <c r="S965" s="43">
        <f t="shared" ref="S965" si="730">S964+S963</f>
        <v>44662.5</v>
      </c>
      <c r="T965" s="43">
        <f t="shared" ref="T965:V965" si="731">T964+T963</f>
        <v>43962.5</v>
      </c>
      <c r="U965" s="43">
        <f t="shared" si="731"/>
        <v>43262.5</v>
      </c>
      <c r="V965" s="43">
        <f t="shared" si="731"/>
        <v>42562.5</v>
      </c>
      <c r="W965" s="43">
        <f t="shared" ref="W965:AA965" si="732">W964+W963</f>
        <v>41512.5</v>
      </c>
      <c r="X965" s="43">
        <f t="shared" si="732"/>
        <v>40462.5</v>
      </c>
      <c r="Y965" s="43">
        <f t="shared" si="732"/>
        <v>39762.5</v>
      </c>
      <c r="Z965" s="499">
        <f t="shared" si="732"/>
        <v>33975</v>
      </c>
      <c r="AA965" s="538">
        <f t="shared" si="732"/>
        <v>33300</v>
      </c>
      <c r="AB965" s="43">
        <f t="shared" ref="AB965:AC965" si="733">AB964+AB963</f>
        <v>32550</v>
      </c>
      <c r="AC965" s="43">
        <f t="shared" si="733"/>
        <v>31800</v>
      </c>
      <c r="AD965" s="43">
        <f t="shared" ref="AD965" si="734">AD964+AD963</f>
        <v>30900</v>
      </c>
      <c r="AE965" s="41" t="s">
        <v>11</v>
      </c>
      <c r="AF965" s="41"/>
      <c r="AG965" s="41"/>
      <c r="AH965" s="41"/>
      <c r="AI965" s="41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</row>
    <row r="966" spans="1:46" s="2" customFormat="1" x14ac:dyDescent="0.25">
      <c r="A966" s="26" t="s">
        <v>98</v>
      </c>
      <c r="B966" s="26" t="s">
        <v>96</v>
      </c>
      <c r="C966" s="306"/>
      <c r="D966" s="54" t="s">
        <v>3</v>
      </c>
      <c r="E966" s="284">
        <v>42139</v>
      </c>
      <c r="F966" s="346" t="s">
        <v>259</v>
      </c>
      <c r="G966" s="323" t="s">
        <v>129</v>
      </c>
      <c r="H966" s="323">
        <v>31300263</v>
      </c>
      <c r="I966" s="323">
        <v>585002</v>
      </c>
      <c r="J966" s="2" t="s">
        <v>1</v>
      </c>
      <c r="K966" s="27">
        <v>367818</v>
      </c>
      <c r="L966" s="4">
        <v>0</v>
      </c>
      <c r="M966" s="4">
        <v>0</v>
      </c>
      <c r="N966" s="4">
        <v>0</v>
      </c>
      <c r="O966" s="4"/>
      <c r="P966" s="283">
        <v>42818</v>
      </c>
      <c r="Q966" s="283">
        <v>40000</v>
      </c>
      <c r="R966" s="283">
        <v>40000</v>
      </c>
      <c r="S966" s="283">
        <v>35000</v>
      </c>
      <c r="T966" s="283">
        <v>35000</v>
      </c>
      <c r="U966" s="283">
        <v>35000</v>
      </c>
      <c r="V966" s="283">
        <v>35000</v>
      </c>
      <c r="W966" s="283">
        <v>35000</v>
      </c>
      <c r="X966" s="283">
        <v>35000</v>
      </c>
      <c r="Y966" s="283">
        <v>35000</v>
      </c>
      <c r="Z966" s="490" t="s">
        <v>11</v>
      </c>
      <c r="AA966" s="60"/>
    </row>
    <row r="967" spans="1:46" s="2" customFormat="1" x14ac:dyDescent="0.25">
      <c r="A967" s="400" t="s">
        <v>1004</v>
      </c>
      <c r="B967" s="26"/>
      <c r="C967" s="306"/>
      <c r="D967" s="54"/>
      <c r="E967" s="34" t="s">
        <v>12</v>
      </c>
      <c r="F967" s="34"/>
      <c r="G967" s="35" t="s">
        <v>763</v>
      </c>
      <c r="H967" s="35"/>
      <c r="I967" s="35"/>
      <c r="J967" s="17" t="s">
        <v>2</v>
      </c>
      <c r="K967" s="347">
        <v>45281.36</v>
      </c>
      <c r="L967" s="11">
        <v>0</v>
      </c>
      <c r="M967" s="11">
        <v>0</v>
      </c>
      <c r="N967" s="11">
        <v>0</v>
      </c>
      <c r="O967" s="11"/>
      <c r="P967" s="142">
        <f>4071.93+4071.93</f>
        <v>8143.86</v>
      </c>
      <c r="Q967" s="142">
        <f>3643.75+3643.75</f>
        <v>7287.5</v>
      </c>
      <c r="R967" s="142">
        <f>3243.75+3243.75</f>
        <v>6487.5</v>
      </c>
      <c r="S967" s="142">
        <f>2843.75+2843.75</f>
        <v>5687.5</v>
      </c>
      <c r="T967" s="142">
        <f>2493.75+2493.75</f>
        <v>4987.5</v>
      </c>
      <c r="U967" s="142">
        <f>2143.75+2143.75</f>
        <v>4287.5</v>
      </c>
      <c r="V967" s="142">
        <f>1793.75+1793.75</f>
        <v>3587.5</v>
      </c>
      <c r="W967" s="142">
        <f>1268.75+1268.75</f>
        <v>2537.5</v>
      </c>
      <c r="X967" s="142">
        <f>743.75+743.75</f>
        <v>1487.5</v>
      </c>
      <c r="Y967" s="142">
        <f>393.75+393.75</f>
        <v>787.5</v>
      </c>
      <c r="Z967" s="491" t="s">
        <v>11</v>
      </c>
      <c r="AA967" s="532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</row>
    <row r="968" spans="1:46" s="6" customFormat="1" ht="13.8" thickBot="1" x14ac:dyDescent="0.3">
      <c r="A968" s="409" t="s">
        <v>1119</v>
      </c>
      <c r="B968" s="120"/>
      <c r="C968" s="307"/>
      <c r="D968" s="85"/>
      <c r="E968" s="86" t="s">
        <v>17</v>
      </c>
      <c r="F968" s="86" t="s">
        <v>408</v>
      </c>
      <c r="G968" s="125"/>
      <c r="H968" s="125"/>
      <c r="I968" s="125"/>
      <c r="J968" s="365" t="s">
        <v>6</v>
      </c>
      <c r="K968" s="350">
        <f>K967+K966</f>
        <v>413099.36</v>
      </c>
      <c r="L968" s="43">
        <f>L967+L966</f>
        <v>0</v>
      </c>
      <c r="M968" s="43">
        <f t="shared" ref="M968:U968" si="735">M967+M966</f>
        <v>0</v>
      </c>
      <c r="N968" s="43">
        <f t="shared" si="735"/>
        <v>0</v>
      </c>
      <c r="O968" s="43"/>
      <c r="P968" s="43">
        <f>P967+P966</f>
        <v>50961.86</v>
      </c>
      <c r="Q968" s="43">
        <f t="shared" si="735"/>
        <v>47287.5</v>
      </c>
      <c r="R968" s="43">
        <f t="shared" si="735"/>
        <v>46487.5</v>
      </c>
      <c r="S968" s="43">
        <f t="shared" si="735"/>
        <v>40687.5</v>
      </c>
      <c r="T968" s="43">
        <f t="shared" si="735"/>
        <v>39987.5</v>
      </c>
      <c r="U968" s="43">
        <f t="shared" si="735"/>
        <v>39287.5</v>
      </c>
      <c r="V968" s="43">
        <f t="shared" ref="V968:Y968" si="736">V967+V966</f>
        <v>38587.5</v>
      </c>
      <c r="W968" s="43">
        <f t="shared" si="736"/>
        <v>37537.5</v>
      </c>
      <c r="X968" s="43">
        <f t="shared" si="736"/>
        <v>36487.5</v>
      </c>
      <c r="Y968" s="43">
        <f t="shared" si="736"/>
        <v>35787.5</v>
      </c>
      <c r="Z968" s="492" t="s">
        <v>11</v>
      </c>
      <c r="AA968" s="533"/>
      <c r="AB968" s="41"/>
      <c r="AC968" s="41"/>
      <c r="AD968" s="41"/>
      <c r="AE968" s="41"/>
      <c r="AF968" s="41"/>
      <c r="AG968" s="41"/>
      <c r="AH968" s="41"/>
      <c r="AI968" s="41"/>
      <c r="AJ968" s="41"/>
      <c r="AK968" s="41"/>
      <c r="AL968" s="41"/>
      <c r="AM968" s="41"/>
      <c r="AN968" s="41"/>
      <c r="AO968" s="41"/>
      <c r="AP968" s="41"/>
      <c r="AQ968" s="41"/>
      <c r="AR968" s="41"/>
      <c r="AS968" s="41"/>
      <c r="AT968" s="41"/>
    </row>
    <row r="969" spans="1:46" s="2" customFormat="1" x14ac:dyDescent="0.25">
      <c r="A969" s="26" t="s">
        <v>98</v>
      </c>
      <c r="B969" s="26" t="s">
        <v>96</v>
      </c>
      <c r="C969" s="306"/>
      <c r="D969" s="54" t="s">
        <v>3</v>
      </c>
      <c r="E969" s="34">
        <v>42139</v>
      </c>
      <c r="F969" s="34" t="s">
        <v>258</v>
      </c>
      <c r="G969" s="35" t="s">
        <v>764</v>
      </c>
      <c r="H969" s="35">
        <v>31300263</v>
      </c>
      <c r="I969" s="35">
        <v>585100</v>
      </c>
      <c r="J969" s="2" t="s">
        <v>1</v>
      </c>
      <c r="K969" s="27">
        <v>55000</v>
      </c>
      <c r="L969" s="4">
        <v>0</v>
      </c>
      <c r="M969" s="4">
        <v>0</v>
      </c>
      <c r="N969" s="4">
        <v>0</v>
      </c>
      <c r="O969" s="4"/>
      <c r="P969" s="283">
        <v>15000</v>
      </c>
      <c r="Q969" s="283">
        <v>10000</v>
      </c>
      <c r="R969" s="283">
        <v>10000</v>
      </c>
      <c r="S969" s="283">
        <v>10000</v>
      </c>
      <c r="T969" s="283">
        <v>10000</v>
      </c>
      <c r="U969" s="2" t="s">
        <v>11</v>
      </c>
      <c r="Z969" s="490"/>
      <c r="AA969" s="60"/>
    </row>
    <row r="970" spans="1:46" s="2" customFormat="1" x14ac:dyDescent="0.25">
      <c r="A970" s="400" t="s">
        <v>1005</v>
      </c>
      <c r="B970" s="26"/>
      <c r="C970" s="306"/>
      <c r="D970" s="54"/>
      <c r="E970" s="34" t="s">
        <v>12</v>
      </c>
      <c r="F970" s="34"/>
      <c r="G970" s="35" t="s">
        <v>765</v>
      </c>
      <c r="H970" s="35"/>
      <c r="I970" s="35"/>
      <c r="J970" s="17" t="s">
        <v>2</v>
      </c>
      <c r="K970" s="347">
        <v>3100</v>
      </c>
      <c r="L970" s="11">
        <v>0</v>
      </c>
      <c r="M970" s="11">
        <v>0</v>
      </c>
      <c r="N970" s="11">
        <v>0</v>
      </c>
      <c r="O970" s="11"/>
      <c r="P970" s="142">
        <f>550+550</f>
        <v>1100</v>
      </c>
      <c r="Q970" s="142">
        <f>400+400</f>
        <v>800</v>
      </c>
      <c r="R970" s="142">
        <f>300+300</f>
        <v>600</v>
      </c>
      <c r="S970" s="142">
        <f>200+200</f>
        <v>400</v>
      </c>
      <c r="T970" s="142">
        <f>100+100</f>
        <v>200</v>
      </c>
      <c r="U970" s="17" t="s">
        <v>11</v>
      </c>
      <c r="V970" s="17"/>
      <c r="W970" s="17"/>
      <c r="X970" s="17"/>
      <c r="Y970" s="17"/>
      <c r="Z970" s="491"/>
      <c r="AA970" s="532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</row>
    <row r="971" spans="1:46" s="6" customFormat="1" ht="13.8" thickBot="1" x14ac:dyDescent="0.3">
      <c r="A971" s="120"/>
      <c r="B971" s="120"/>
      <c r="C971" s="307"/>
      <c r="D971" s="85"/>
      <c r="E971" s="86" t="s">
        <v>17</v>
      </c>
      <c r="F971" s="86" t="s">
        <v>410</v>
      </c>
      <c r="G971" s="125"/>
      <c r="H971" s="125"/>
      <c r="I971" s="125"/>
      <c r="J971" s="365" t="s">
        <v>6</v>
      </c>
      <c r="K971" s="350">
        <f>K970+K969</f>
        <v>58100</v>
      </c>
      <c r="L971" s="43">
        <f>L970+L969</f>
        <v>0</v>
      </c>
      <c r="M971" s="43">
        <f t="shared" ref="M971:T971" si="737">M970+M969</f>
        <v>0</v>
      </c>
      <c r="N971" s="43">
        <f t="shared" si="737"/>
        <v>0</v>
      </c>
      <c r="O971" s="43"/>
      <c r="P971" s="43">
        <f t="shared" si="737"/>
        <v>16100</v>
      </c>
      <c r="Q971" s="43">
        <f t="shared" si="737"/>
        <v>10800</v>
      </c>
      <c r="R971" s="43">
        <f t="shared" si="737"/>
        <v>10600</v>
      </c>
      <c r="S971" s="43">
        <f t="shared" si="737"/>
        <v>10400</v>
      </c>
      <c r="T971" s="43">
        <f t="shared" si="737"/>
        <v>10200</v>
      </c>
      <c r="U971" s="41" t="s">
        <v>11</v>
      </c>
      <c r="V971" s="41"/>
      <c r="W971" s="41"/>
      <c r="X971" s="41"/>
      <c r="Y971" s="41"/>
      <c r="Z971" s="492"/>
      <c r="AA971" s="533"/>
      <c r="AB971" s="41"/>
      <c r="AC971" s="41"/>
      <c r="AD971" s="41"/>
      <c r="AE971" s="41"/>
      <c r="AF971" s="41"/>
      <c r="AG971" s="41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</row>
    <row r="972" spans="1:46" s="2" customFormat="1" x14ac:dyDescent="0.25">
      <c r="A972" s="26" t="s">
        <v>99</v>
      </c>
      <c r="B972" s="26" t="s">
        <v>96</v>
      </c>
      <c r="C972" s="306"/>
      <c r="D972" s="54" t="s">
        <v>3</v>
      </c>
      <c r="E972" s="284">
        <v>42139</v>
      </c>
      <c r="F972" s="346" t="s">
        <v>301</v>
      </c>
      <c r="G972" s="313" t="s">
        <v>766</v>
      </c>
      <c r="H972" s="313">
        <v>31422263</v>
      </c>
      <c r="I972" s="313">
        <v>586202</v>
      </c>
      <c r="J972" s="2" t="s">
        <v>1</v>
      </c>
      <c r="K972" s="27">
        <v>200000</v>
      </c>
      <c r="L972" s="4">
        <v>0</v>
      </c>
      <c r="M972" s="4">
        <v>0</v>
      </c>
      <c r="N972" s="4">
        <v>0</v>
      </c>
      <c r="O972" s="4"/>
      <c r="P972" s="283">
        <v>15000</v>
      </c>
      <c r="Q972" s="283">
        <v>15000</v>
      </c>
      <c r="R972" s="283">
        <v>15000</v>
      </c>
      <c r="S972" s="283">
        <v>15000</v>
      </c>
      <c r="T972" s="283">
        <v>15000</v>
      </c>
      <c r="U972" s="283">
        <v>15000</v>
      </c>
      <c r="V972" s="283">
        <v>15000</v>
      </c>
      <c r="W972" s="283">
        <v>15000</v>
      </c>
      <c r="X972" s="283">
        <v>15000</v>
      </c>
      <c r="Y972" s="283">
        <v>15000</v>
      </c>
      <c r="Z972" s="497">
        <v>10000</v>
      </c>
      <c r="AA972" s="536">
        <v>10000</v>
      </c>
      <c r="AB972" s="5">
        <v>10000</v>
      </c>
      <c r="AC972" s="5">
        <v>10000</v>
      </c>
      <c r="AD972" s="5">
        <v>10000</v>
      </c>
      <c r="AE972" s="2" t="s">
        <v>11</v>
      </c>
    </row>
    <row r="973" spans="1:46" s="2" customFormat="1" x14ac:dyDescent="0.25">
      <c r="A973" s="400" t="s">
        <v>1006</v>
      </c>
      <c r="B973" s="26"/>
      <c r="C973" s="306"/>
      <c r="D973" s="54"/>
      <c r="E973" s="34" t="s">
        <v>12</v>
      </c>
      <c r="F973" s="35"/>
      <c r="G973" s="35" t="s">
        <v>767</v>
      </c>
      <c r="H973" s="35"/>
      <c r="I973" s="35"/>
      <c r="J973" s="17" t="s">
        <v>2</v>
      </c>
      <c r="K973" s="347">
        <v>36550</v>
      </c>
      <c r="L973" s="11">
        <v>0</v>
      </c>
      <c r="M973" s="11">
        <v>0</v>
      </c>
      <c r="N973" s="11">
        <v>0</v>
      </c>
      <c r="O973" s="11"/>
      <c r="P973" s="142">
        <f>2331.25+2331.25</f>
        <v>4662.5</v>
      </c>
      <c r="Q973" s="142">
        <f>2181.25+2181.25</f>
        <v>4362.5</v>
      </c>
      <c r="R973" s="142">
        <f>2031.25+2031.25</f>
        <v>4062.5</v>
      </c>
      <c r="S973" s="142">
        <f>1881.25+1881.25</f>
        <v>3762.5</v>
      </c>
      <c r="T973" s="142">
        <f>1731.25+1731.25</f>
        <v>3462.5</v>
      </c>
      <c r="U973" s="142">
        <f>1581.25+1581.25</f>
        <v>3162.5</v>
      </c>
      <c r="V973" s="142">
        <f>1431.25+1431.25</f>
        <v>2862.5</v>
      </c>
      <c r="W973" s="142">
        <f>1206.25+1206.25</f>
        <v>2412.5</v>
      </c>
      <c r="X973" s="142">
        <f>981.25+981.25</f>
        <v>1962.5</v>
      </c>
      <c r="Y973" s="142">
        <f>831.25+831.25</f>
        <v>1662.5</v>
      </c>
      <c r="Z973" s="500">
        <f>662.5+662.5</f>
        <v>1325</v>
      </c>
      <c r="AA973" s="539">
        <f>550+550</f>
        <v>1100</v>
      </c>
      <c r="AB973" s="21">
        <f>425+425</f>
        <v>850</v>
      </c>
      <c r="AC973" s="21">
        <f>300+300</f>
        <v>600</v>
      </c>
      <c r="AD973" s="21">
        <f>150+150</f>
        <v>300</v>
      </c>
      <c r="AE973" s="17" t="s">
        <v>11</v>
      </c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</row>
    <row r="974" spans="1:46" s="6" customFormat="1" ht="13.8" thickBot="1" x14ac:dyDescent="0.3">
      <c r="A974" s="409" t="s">
        <v>1119</v>
      </c>
      <c r="B974" s="120"/>
      <c r="C974" s="307"/>
      <c r="D974" s="85"/>
      <c r="E974" s="86" t="s">
        <v>15</v>
      </c>
      <c r="F974" s="86" t="s">
        <v>405</v>
      </c>
      <c r="G974" s="125"/>
      <c r="H974" s="125"/>
      <c r="I974" s="125"/>
      <c r="J974" s="365" t="s">
        <v>6</v>
      </c>
      <c r="K974" s="350">
        <f>K973+K972</f>
        <v>236550</v>
      </c>
      <c r="L974" s="43">
        <f>L973+L972</f>
        <v>0</v>
      </c>
      <c r="M974" s="43">
        <f t="shared" ref="M974:S974" si="738">M973+M972</f>
        <v>0</v>
      </c>
      <c r="N974" s="43">
        <f t="shared" si="738"/>
        <v>0</v>
      </c>
      <c r="O974" s="43"/>
      <c r="P974" s="43">
        <f t="shared" si="738"/>
        <v>19662.5</v>
      </c>
      <c r="Q974" s="43">
        <f t="shared" si="738"/>
        <v>19362.5</v>
      </c>
      <c r="R974" s="43">
        <f t="shared" si="738"/>
        <v>19062.5</v>
      </c>
      <c r="S974" s="43">
        <f t="shared" si="738"/>
        <v>18762.5</v>
      </c>
      <c r="T974" s="43">
        <f t="shared" ref="T974:V974" si="739">T973+T972</f>
        <v>18462.5</v>
      </c>
      <c r="U974" s="43">
        <f t="shared" si="739"/>
        <v>18162.5</v>
      </c>
      <c r="V974" s="43">
        <f t="shared" si="739"/>
        <v>17862.5</v>
      </c>
      <c r="W974" s="43">
        <f t="shared" ref="W974:AB974" si="740">W973+W972</f>
        <v>17412.5</v>
      </c>
      <c r="X974" s="43">
        <f t="shared" si="740"/>
        <v>16962.5</v>
      </c>
      <c r="Y974" s="43">
        <f t="shared" si="740"/>
        <v>16662.5</v>
      </c>
      <c r="Z974" s="499">
        <f t="shared" si="740"/>
        <v>11325</v>
      </c>
      <c r="AA974" s="538">
        <f t="shared" si="740"/>
        <v>11100</v>
      </c>
      <c r="AB974" s="43">
        <f t="shared" si="740"/>
        <v>10850</v>
      </c>
      <c r="AC974" s="43">
        <f t="shared" ref="AC974:AD974" si="741">AC973+AC972</f>
        <v>10600</v>
      </c>
      <c r="AD974" s="43">
        <f t="shared" si="741"/>
        <v>10300</v>
      </c>
      <c r="AE974" s="41" t="s">
        <v>11</v>
      </c>
      <c r="AF974" s="41"/>
      <c r="AG974" s="41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</row>
    <row r="975" spans="1:46" s="2" customFormat="1" x14ac:dyDescent="0.25">
      <c r="A975" s="26" t="s">
        <v>99</v>
      </c>
      <c r="B975" s="26" t="s">
        <v>96</v>
      </c>
      <c r="C975" s="306"/>
      <c r="D975" s="54" t="s">
        <v>3</v>
      </c>
      <c r="E975" s="284">
        <v>42139</v>
      </c>
      <c r="F975" s="34" t="s">
        <v>351</v>
      </c>
      <c r="G975" s="35" t="s">
        <v>768</v>
      </c>
      <c r="H975" s="35">
        <v>31220263</v>
      </c>
      <c r="I975" s="35">
        <v>530000</v>
      </c>
      <c r="J975" s="2" t="s">
        <v>1</v>
      </c>
      <c r="K975" s="27">
        <v>45000</v>
      </c>
      <c r="L975" s="4">
        <v>0</v>
      </c>
      <c r="M975" s="4">
        <v>0</v>
      </c>
      <c r="N975" s="4">
        <v>0</v>
      </c>
      <c r="O975" s="4"/>
      <c r="P975" s="283">
        <v>10000</v>
      </c>
      <c r="Q975" s="283">
        <v>10000</v>
      </c>
      <c r="R975" s="283">
        <v>10000</v>
      </c>
      <c r="S975" s="283">
        <v>10000</v>
      </c>
      <c r="T975" s="283">
        <v>5000</v>
      </c>
      <c r="U975" s="2" t="s">
        <v>11</v>
      </c>
      <c r="Z975" s="490"/>
      <c r="AA975" s="60"/>
    </row>
    <row r="976" spans="1:46" s="2" customFormat="1" x14ac:dyDescent="0.25">
      <c r="A976" s="400" t="s">
        <v>1007</v>
      </c>
      <c r="B976" s="26"/>
      <c r="C976" s="306"/>
      <c r="D976" s="54"/>
      <c r="E976" s="284" t="s">
        <v>12</v>
      </c>
      <c r="F976" s="35"/>
      <c r="G976" s="35" t="s">
        <v>769</v>
      </c>
      <c r="H976" s="35"/>
      <c r="I976" s="35"/>
      <c r="J976" s="17" t="s">
        <v>2</v>
      </c>
      <c r="K976" s="347">
        <v>2500</v>
      </c>
      <c r="L976" s="11">
        <v>0</v>
      </c>
      <c r="M976" s="11">
        <v>0</v>
      </c>
      <c r="N976" s="11">
        <v>0</v>
      </c>
      <c r="O976" s="11"/>
      <c r="P976" s="142">
        <f>450+450</f>
        <v>900</v>
      </c>
      <c r="Q976" s="142">
        <f>350+350</f>
        <v>700</v>
      </c>
      <c r="R976" s="142">
        <f>250+250</f>
        <v>500</v>
      </c>
      <c r="S976" s="142">
        <f>150+150</f>
        <v>300</v>
      </c>
      <c r="T976" s="142">
        <f>50+50</f>
        <v>100</v>
      </c>
      <c r="U976" s="17" t="s">
        <v>11</v>
      </c>
      <c r="V976" s="17"/>
      <c r="W976" s="17"/>
      <c r="X976" s="17"/>
      <c r="Y976" s="17"/>
      <c r="Z976" s="491"/>
      <c r="AA976" s="532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</row>
    <row r="977" spans="1:46" s="6" customFormat="1" ht="13.8" thickBot="1" x14ac:dyDescent="0.3">
      <c r="A977" s="120"/>
      <c r="B977" s="120"/>
      <c r="C977" s="307"/>
      <c r="D977" s="85"/>
      <c r="E977" s="145" t="s">
        <v>15</v>
      </c>
      <c r="F977" s="403" t="s">
        <v>410</v>
      </c>
      <c r="G977" s="125"/>
      <c r="H977" s="125"/>
      <c r="I977" s="125"/>
      <c r="J977" s="365" t="s">
        <v>6</v>
      </c>
      <c r="K977" s="350">
        <f>K976+K975</f>
        <v>47500</v>
      </c>
      <c r="L977" s="43">
        <f>L976+L975</f>
        <v>0</v>
      </c>
      <c r="M977" s="43">
        <f t="shared" ref="M977:T977" si="742">M976+M975</f>
        <v>0</v>
      </c>
      <c r="N977" s="43">
        <f t="shared" si="742"/>
        <v>0</v>
      </c>
      <c r="O977" s="43"/>
      <c r="P977" s="43">
        <f t="shared" si="742"/>
        <v>10900</v>
      </c>
      <c r="Q977" s="43">
        <f t="shared" si="742"/>
        <v>10700</v>
      </c>
      <c r="R977" s="43">
        <f t="shared" si="742"/>
        <v>10500</v>
      </c>
      <c r="S977" s="43">
        <f t="shared" si="742"/>
        <v>10300</v>
      </c>
      <c r="T977" s="43">
        <f t="shared" si="742"/>
        <v>5100</v>
      </c>
      <c r="U977" s="41" t="s">
        <v>11</v>
      </c>
      <c r="V977" s="41"/>
      <c r="W977" s="41"/>
      <c r="X977" s="41"/>
      <c r="Y977" s="41"/>
      <c r="Z977" s="492"/>
      <c r="AA977" s="533"/>
      <c r="AB977" s="41"/>
      <c r="AC977" s="41"/>
      <c r="AD977" s="41"/>
      <c r="AE977" s="41"/>
      <c r="AF977" s="41"/>
      <c r="AG977" s="41"/>
      <c r="AH977" s="41"/>
      <c r="AI977" s="41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</row>
    <row r="978" spans="1:46" s="2" customFormat="1" x14ac:dyDescent="0.25">
      <c r="A978" s="26" t="s">
        <v>102</v>
      </c>
      <c r="B978" s="26" t="s">
        <v>96</v>
      </c>
      <c r="C978" s="306"/>
      <c r="D978" s="54" t="s">
        <v>3</v>
      </c>
      <c r="E978" s="34">
        <v>42139</v>
      </c>
      <c r="F978" s="34" t="s">
        <v>258</v>
      </c>
      <c r="G978" s="35" t="s">
        <v>770</v>
      </c>
      <c r="H978" s="35">
        <v>31650263</v>
      </c>
      <c r="I978" s="35">
        <v>585115</v>
      </c>
      <c r="J978" s="2" t="s">
        <v>1</v>
      </c>
      <c r="K978" s="27">
        <v>66000</v>
      </c>
      <c r="L978" s="4">
        <v>0</v>
      </c>
      <c r="M978" s="4">
        <v>0</v>
      </c>
      <c r="N978" s="4">
        <v>0</v>
      </c>
      <c r="O978" s="4"/>
      <c r="P978" s="283">
        <v>16000</v>
      </c>
      <c r="Q978" s="283">
        <v>15000</v>
      </c>
      <c r="R978" s="283">
        <v>15000</v>
      </c>
      <c r="S978" s="283">
        <f>10000</f>
        <v>10000</v>
      </c>
      <c r="T978" s="283">
        <v>10000</v>
      </c>
      <c r="U978" s="2" t="s">
        <v>11</v>
      </c>
      <c r="W978" s="283"/>
      <c r="X978" s="283"/>
      <c r="Y978" s="283"/>
      <c r="Z978" s="497"/>
      <c r="AA978" s="536"/>
      <c r="AB978" s="5"/>
      <c r="AC978" s="5"/>
      <c r="AD978" s="5"/>
      <c r="AE978" s="5"/>
      <c r="AF978" s="5"/>
      <c r="AG978" s="5"/>
      <c r="AH978" s="5"/>
      <c r="AI978" s="5"/>
      <c r="AJ978" s="5"/>
    </row>
    <row r="979" spans="1:46" s="2" customFormat="1" x14ac:dyDescent="0.25">
      <c r="A979" s="400" t="s">
        <v>1008</v>
      </c>
      <c r="B979" s="26"/>
      <c r="C979" s="306"/>
      <c r="D979" s="54"/>
      <c r="E979" s="34" t="s">
        <v>12</v>
      </c>
      <c r="F979" s="34"/>
      <c r="G979" s="35" t="s">
        <v>771</v>
      </c>
      <c r="H979" s="35"/>
      <c r="I979" s="35"/>
      <c r="J979" s="17" t="s">
        <v>2</v>
      </c>
      <c r="K979" s="347">
        <v>3620</v>
      </c>
      <c r="L979" s="11">
        <v>0</v>
      </c>
      <c r="M979" s="11">
        <v>0</v>
      </c>
      <c r="N979" s="11">
        <v>0</v>
      </c>
      <c r="O979" s="11"/>
      <c r="P979" s="142">
        <f>660+660</f>
        <v>1320</v>
      </c>
      <c r="Q979" s="142">
        <f>500+500</f>
        <v>1000</v>
      </c>
      <c r="R979" s="142">
        <f>350+350</f>
        <v>700</v>
      </c>
      <c r="S979" s="142">
        <f>200+200</f>
        <v>400</v>
      </c>
      <c r="T979" s="142">
        <f>100+100</f>
        <v>200</v>
      </c>
      <c r="U979" s="17" t="s">
        <v>11</v>
      </c>
      <c r="V979" s="17"/>
      <c r="W979" s="142"/>
      <c r="X979" s="142"/>
      <c r="Y979" s="142"/>
      <c r="Z979" s="500"/>
      <c r="AA979" s="539"/>
      <c r="AB979" s="21"/>
      <c r="AC979" s="21"/>
      <c r="AD979" s="21"/>
      <c r="AE979" s="21"/>
      <c r="AF979" s="21"/>
      <c r="AG979" s="21"/>
      <c r="AH979" s="21"/>
      <c r="AI979" s="21"/>
      <c r="AJ979" s="21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</row>
    <row r="980" spans="1:46" s="6" customFormat="1" ht="13.8" thickBot="1" x14ac:dyDescent="0.3">
      <c r="A980" s="120"/>
      <c r="B980" s="120"/>
      <c r="C980" s="307"/>
      <c r="D980" s="85"/>
      <c r="E980" s="86" t="s">
        <v>160</v>
      </c>
      <c r="F980" s="86" t="s">
        <v>410</v>
      </c>
      <c r="G980" s="125"/>
      <c r="H980" s="125"/>
      <c r="I980" s="125"/>
      <c r="J980" s="365" t="s">
        <v>6</v>
      </c>
      <c r="K980" s="350">
        <f>K979+K978</f>
        <v>69620</v>
      </c>
      <c r="L980" s="43">
        <f>L979+L978</f>
        <v>0</v>
      </c>
      <c r="M980" s="43">
        <f t="shared" ref="M980:T980" si="743">M979+M978</f>
        <v>0</v>
      </c>
      <c r="N980" s="43">
        <f t="shared" si="743"/>
        <v>0</v>
      </c>
      <c r="O980" s="43"/>
      <c r="P980" s="43">
        <f t="shared" si="743"/>
        <v>17320</v>
      </c>
      <c r="Q980" s="43">
        <f t="shared" si="743"/>
        <v>16000</v>
      </c>
      <c r="R980" s="43">
        <f t="shared" si="743"/>
        <v>15700</v>
      </c>
      <c r="S980" s="43">
        <f t="shared" si="743"/>
        <v>10400</v>
      </c>
      <c r="T980" s="43">
        <f t="shared" si="743"/>
        <v>10200</v>
      </c>
      <c r="U980" s="41" t="s">
        <v>11</v>
      </c>
      <c r="V980" s="41"/>
      <c r="W980" s="43"/>
      <c r="X980" s="43"/>
      <c r="Y980" s="43"/>
      <c r="Z980" s="499"/>
      <c r="AA980" s="538"/>
      <c r="AB980" s="43"/>
      <c r="AC980" s="43"/>
      <c r="AD980" s="43"/>
      <c r="AE980" s="43"/>
      <c r="AF980" s="43"/>
      <c r="AG980" s="43"/>
      <c r="AH980" s="43"/>
      <c r="AI980" s="43"/>
      <c r="AJ980" s="43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</row>
    <row r="981" spans="1:46" s="2" customFormat="1" x14ac:dyDescent="0.25">
      <c r="A981" s="26" t="s">
        <v>102</v>
      </c>
      <c r="B981" s="26" t="s">
        <v>96</v>
      </c>
      <c r="C981" s="306"/>
      <c r="D981" s="54" t="s">
        <v>3</v>
      </c>
      <c r="E981" s="34">
        <v>42139</v>
      </c>
      <c r="F981" s="34" t="s">
        <v>258</v>
      </c>
      <c r="G981" s="35" t="s">
        <v>772</v>
      </c>
      <c r="H981" s="35">
        <v>31422263</v>
      </c>
      <c r="I981" s="35">
        <v>587007</v>
      </c>
      <c r="J981" s="2" t="s">
        <v>1</v>
      </c>
      <c r="K981" s="27">
        <v>185000</v>
      </c>
      <c r="L981" s="4">
        <v>0</v>
      </c>
      <c r="M981" s="4">
        <v>0</v>
      </c>
      <c r="N981" s="4">
        <v>0</v>
      </c>
      <c r="O981" s="4"/>
      <c r="P981" s="283">
        <v>40000</v>
      </c>
      <c r="Q981" s="283">
        <v>40000</v>
      </c>
      <c r="R981" s="283">
        <v>35000</v>
      </c>
      <c r="S981" s="283">
        <v>35000</v>
      </c>
      <c r="T981" s="283">
        <v>35000</v>
      </c>
      <c r="U981" s="2" t="s">
        <v>11</v>
      </c>
      <c r="W981" s="283"/>
      <c r="X981" s="283"/>
      <c r="Y981" s="283"/>
      <c r="Z981" s="497"/>
      <c r="AA981" s="536"/>
      <c r="AB981" s="5"/>
      <c r="AC981" s="5"/>
      <c r="AD981" s="5"/>
    </row>
    <row r="982" spans="1:46" s="2" customFormat="1" x14ac:dyDescent="0.25">
      <c r="A982" s="400" t="s">
        <v>1009</v>
      </c>
      <c r="B982" s="26"/>
      <c r="C982" s="306"/>
      <c r="D982" s="54"/>
      <c r="E982" s="34" t="s">
        <v>12</v>
      </c>
      <c r="F982" s="34"/>
      <c r="G982" s="35" t="s">
        <v>773</v>
      </c>
      <c r="H982" s="35"/>
      <c r="I982" s="35"/>
      <c r="J982" s="17" t="s">
        <v>2</v>
      </c>
      <c r="K982" s="347">
        <v>10800</v>
      </c>
      <c r="L982" s="11">
        <v>0</v>
      </c>
      <c r="M982" s="11">
        <v>0</v>
      </c>
      <c r="N982" s="11">
        <v>0</v>
      </c>
      <c r="O982" s="11"/>
      <c r="P982" s="142">
        <f>1850+1850</f>
        <v>3700</v>
      </c>
      <c r="Q982" s="142">
        <f>1450+1450</f>
        <v>2900</v>
      </c>
      <c r="R982" s="142">
        <f>1050+1050</f>
        <v>2100</v>
      </c>
      <c r="S982" s="142">
        <f>700+700</f>
        <v>1400</v>
      </c>
      <c r="T982" s="142">
        <f>350+350</f>
        <v>700</v>
      </c>
      <c r="U982" s="17" t="s">
        <v>11</v>
      </c>
      <c r="V982" s="17"/>
      <c r="W982" s="142"/>
      <c r="X982" s="142"/>
      <c r="Y982" s="142"/>
      <c r="Z982" s="500"/>
      <c r="AA982" s="539"/>
      <c r="AB982" s="21"/>
      <c r="AC982" s="21"/>
      <c r="AD982" s="21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</row>
    <row r="983" spans="1:46" s="6" customFormat="1" ht="13.8" thickBot="1" x14ac:dyDescent="0.3">
      <c r="A983" s="120"/>
      <c r="B983" s="120"/>
      <c r="C983" s="307"/>
      <c r="D983" s="85"/>
      <c r="E983" s="86" t="s">
        <v>160</v>
      </c>
      <c r="F983" s="86" t="s">
        <v>410</v>
      </c>
      <c r="G983" s="125"/>
      <c r="H983" s="125"/>
      <c r="I983" s="125"/>
      <c r="J983" s="365" t="s">
        <v>6</v>
      </c>
      <c r="K983" s="350">
        <f>K982+K981</f>
        <v>195800</v>
      </c>
      <c r="L983" s="43">
        <f>L982+L981</f>
        <v>0</v>
      </c>
      <c r="M983" s="43">
        <f t="shared" ref="M983:T983" si="744">M982+M981</f>
        <v>0</v>
      </c>
      <c r="N983" s="43">
        <f t="shared" si="744"/>
        <v>0</v>
      </c>
      <c r="O983" s="43"/>
      <c r="P983" s="43">
        <f t="shared" si="744"/>
        <v>43700</v>
      </c>
      <c r="Q983" s="43">
        <f t="shared" si="744"/>
        <v>42900</v>
      </c>
      <c r="R983" s="43">
        <f t="shared" si="744"/>
        <v>37100</v>
      </c>
      <c r="S983" s="43">
        <f t="shared" si="744"/>
        <v>36400</v>
      </c>
      <c r="T983" s="43">
        <f t="shared" si="744"/>
        <v>35700</v>
      </c>
      <c r="U983" s="41" t="s">
        <v>11</v>
      </c>
      <c r="V983" s="41"/>
      <c r="W983" s="43"/>
      <c r="X983" s="43"/>
      <c r="Y983" s="43"/>
      <c r="Z983" s="499"/>
      <c r="AA983" s="538"/>
      <c r="AB983" s="43"/>
      <c r="AC983" s="43"/>
      <c r="AD983" s="43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</row>
    <row r="984" spans="1:46" s="2" customFormat="1" x14ac:dyDescent="0.25">
      <c r="A984" s="26" t="s">
        <v>102</v>
      </c>
      <c r="B984" s="26" t="s">
        <v>96</v>
      </c>
      <c r="C984" s="306"/>
      <c r="D984" s="54" t="s">
        <v>3</v>
      </c>
      <c r="E984" s="34">
        <v>42139</v>
      </c>
      <c r="F984" s="34" t="s">
        <v>258</v>
      </c>
      <c r="G984" s="35" t="s">
        <v>774</v>
      </c>
      <c r="H984" s="35">
        <v>31422263</v>
      </c>
      <c r="I984" s="35">
        <v>587008</v>
      </c>
      <c r="J984" s="2" t="s">
        <v>1</v>
      </c>
      <c r="K984" s="27">
        <v>34200</v>
      </c>
      <c r="L984" s="4">
        <v>0</v>
      </c>
      <c r="M984" s="4">
        <v>0</v>
      </c>
      <c r="N984" s="4">
        <v>0</v>
      </c>
      <c r="O984" s="4"/>
      <c r="P984" s="283">
        <v>14200</v>
      </c>
      <c r="Q984" s="283">
        <v>5000</v>
      </c>
      <c r="R984" s="283">
        <v>5000</v>
      </c>
      <c r="S984" s="283">
        <v>5000</v>
      </c>
      <c r="T984" s="283">
        <v>5000</v>
      </c>
      <c r="U984" s="2" t="s">
        <v>11</v>
      </c>
      <c r="Z984" s="490"/>
      <c r="AA984" s="60"/>
    </row>
    <row r="985" spans="1:46" s="2" customFormat="1" x14ac:dyDescent="0.25">
      <c r="A985" s="400" t="s">
        <v>1010</v>
      </c>
      <c r="B985" s="26"/>
      <c r="C985" s="306"/>
      <c r="D985" s="54"/>
      <c r="E985" s="34" t="s">
        <v>12</v>
      </c>
      <c r="F985" s="34"/>
      <c r="G985" s="35" t="s">
        <v>775</v>
      </c>
      <c r="H985" s="35"/>
      <c r="I985" s="35"/>
      <c r="J985" s="17" t="s">
        <v>2</v>
      </c>
      <c r="K985" s="347">
        <v>1684</v>
      </c>
      <c r="L985" s="11">
        <v>0</v>
      </c>
      <c r="M985" s="11">
        <v>0</v>
      </c>
      <c r="N985" s="11">
        <v>0</v>
      </c>
      <c r="O985" s="11"/>
      <c r="P985" s="142">
        <f>342+342</f>
        <v>684</v>
      </c>
      <c r="Q985" s="142">
        <f>200+200</f>
        <v>400</v>
      </c>
      <c r="R985" s="142">
        <f>150+150</f>
        <v>300</v>
      </c>
      <c r="S985" s="142">
        <f>100+100</f>
        <v>200</v>
      </c>
      <c r="T985" s="142">
        <f>50+50</f>
        <v>100</v>
      </c>
      <c r="U985" s="17" t="s">
        <v>11</v>
      </c>
      <c r="V985" s="17"/>
      <c r="W985" s="17"/>
      <c r="X985" s="17"/>
      <c r="Y985" s="17"/>
      <c r="Z985" s="491"/>
      <c r="AA985" s="532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</row>
    <row r="986" spans="1:46" s="6" customFormat="1" ht="13.8" thickBot="1" x14ac:dyDescent="0.3">
      <c r="A986" s="120"/>
      <c r="B986" s="120"/>
      <c r="C986" s="307"/>
      <c r="D986" s="85"/>
      <c r="E986" s="86" t="s">
        <v>160</v>
      </c>
      <c r="F986" s="86" t="s">
        <v>410</v>
      </c>
      <c r="G986" s="125"/>
      <c r="H986" s="125"/>
      <c r="I986" s="125"/>
      <c r="J986" s="365" t="s">
        <v>6</v>
      </c>
      <c r="K986" s="350">
        <f>K985+K984</f>
        <v>35884</v>
      </c>
      <c r="L986" s="43">
        <f>L985+L984</f>
        <v>0</v>
      </c>
      <c r="M986" s="43">
        <f t="shared" ref="M986:T986" si="745">M985+M984</f>
        <v>0</v>
      </c>
      <c r="N986" s="43">
        <f t="shared" si="745"/>
        <v>0</v>
      </c>
      <c r="O986" s="43"/>
      <c r="P986" s="43">
        <f t="shared" si="745"/>
        <v>14884</v>
      </c>
      <c r="Q986" s="43">
        <f t="shared" si="745"/>
        <v>5400</v>
      </c>
      <c r="R986" s="43">
        <f t="shared" si="745"/>
        <v>5300</v>
      </c>
      <c r="S986" s="43">
        <f t="shared" si="745"/>
        <v>5200</v>
      </c>
      <c r="T986" s="43">
        <f t="shared" si="745"/>
        <v>5100</v>
      </c>
      <c r="U986" s="41" t="s">
        <v>11</v>
      </c>
      <c r="V986" s="41"/>
      <c r="W986" s="41"/>
      <c r="X986" s="41"/>
      <c r="Y986" s="41"/>
      <c r="Z986" s="492"/>
      <c r="AA986" s="533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</row>
    <row r="987" spans="1:46" s="2" customFormat="1" x14ac:dyDescent="0.25">
      <c r="A987" s="26" t="s">
        <v>98</v>
      </c>
      <c r="B987" s="26" t="s">
        <v>96</v>
      </c>
      <c r="C987" s="306"/>
      <c r="D987" s="54" t="s">
        <v>3</v>
      </c>
      <c r="E987" s="34">
        <v>42139</v>
      </c>
      <c r="F987" s="34" t="s">
        <v>258</v>
      </c>
      <c r="G987" s="35" t="s">
        <v>776</v>
      </c>
      <c r="H987" s="35">
        <v>31300263</v>
      </c>
      <c r="I987" s="35">
        <v>543011</v>
      </c>
      <c r="J987" s="2" t="s">
        <v>1</v>
      </c>
      <c r="K987" s="27">
        <v>31844</v>
      </c>
      <c r="L987" s="4">
        <v>0</v>
      </c>
      <c r="M987" s="4">
        <v>0</v>
      </c>
      <c r="N987" s="4">
        <v>0</v>
      </c>
      <c r="O987" s="4"/>
      <c r="P987" s="283">
        <v>11844</v>
      </c>
      <c r="Q987" s="283">
        <v>5000</v>
      </c>
      <c r="R987" s="283">
        <v>5000</v>
      </c>
      <c r="S987" s="283">
        <v>5000</v>
      </c>
      <c r="T987" s="283">
        <v>5000</v>
      </c>
      <c r="U987" s="2" t="s">
        <v>11</v>
      </c>
      <c r="Y987" s="283"/>
      <c r="Z987" s="497"/>
      <c r="AA987" s="536"/>
      <c r="AB987" s="5"/>
      <c r="AC987" s="5"/>
    </row>
    <row r="988" spans="1:46" s="2" customFormat="1" x14ac:dyDescent="0.25">
      <c r="A988" s="400" t="s">
        <v>1011</v>
      </c>
      <c r="B988" s="26"/>
      <c r="C988" s="306"/>
      <c r="D988" s="54"/>
      <c r="E988" s="34" t="s">
        <v>12</v>
      </c>
      <c r="F988" s="34"/>
      <c r="G988" s="35" t="s">
        <v>777</v>
      </c>
      <c r="H988" s="35"/>
      <c r="I988" s="35"/>
      <c r="J988" s="17" t="s">
        <v>2</v>
      </c>
      <c r="K988" s="347">
        <v>1636.88</v>
      </c>
      <c r="L988" s="11">
        <v>0</v>
      </c>
      <c r="M988" s="11">
        <v>0</v>
      </c>
      <c r="N988" s="11">
        <v>0</v>
      </c>
      <c r="O988" s="11"/>
      <c r="P988" s="142">
        <f>318.44+318.44</f>
        <v>636.88</v>
      </c>
      <c r="Q988" s="142">
        <f>200+200</f>
        <v>400</v>
      </c>
      <c r="R988" s="142">
        <f>150+150</f>
        <v>300</v>
      </c>
      <c r="S988" s="142">
        <f>100+100</f>
        <v>200</v>
      </c>
      <c r="T988" s="142">
        <f>50+50</f>
        <v>100</v>
      </c>
      <c r="U988" s="17" t="s">
        <v>11</v>
      </c>
      <c r="V988" s="17"/>
      <c r="W988" s="17"/>
      <c r="X988" s="17"/>
      <c r="Y988" s="142"/>
      <c r="Z988" s="500"/>
      <c r="AA988" s="539"/>
      <c r="AB988" s="21"/>
      <c r="AC988" s="21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</row>
    <row r="989" spans="1:46" s="6" customFormat="1" ht="13.8" thickBot="1" x14ac:dyDescent="0.3">
      <c r="A989" s="120"/>
      <c r="B989" s="120"/>
      <c r="C989" s="307"/>
      <c r="D989" s="85"/>
      <c r="E989" s="86" t="s">
        <v>17</v>
      </c>
      <c r="F989" s="86" t="s">
        <v>410</v>
      </c>
      <c r="G989" s="125" t="s">
        <v>778</v>
      </c>
      <c r="H989" s="125"/>
      <c r="I989" s="125"/>
      <c r="J989" s="365" t="s">
        <v>6</v>
      </c>
      <c r="K989" s="350">
        <f>K988+K987</f>
        <v>33480.879999999997</v>
      </c>
      <c r="L989" s="43">
        <f>L988+L987</f>
        <v>0</v>
      </c>
      <c r="M989" s="43">
        <f t="shared" ref="M989:P989" si="746">M988+M987</f>
        <v>0</v>
      </c>
      <c r="N989" s="43">
        <f t="shared" si="746"/>
        <v>0</v>
      </c>
      <c r="O989" s="43"/>
      <c r="P989" s="43">
        <f t="shared" si="746"/>
        <v>12480.88</v>
      </c>
      <c r="Q989" s="43">
        <f t="shared" ref="Q989:T989" si="747">Q988+Q987</f>
        <v>5400</v>
      </c>
      <c r="R989" s="43">
        <f t="shared" si="747"/>
        <v>5300</v>
      </c>
      <c r="S989" s="43">
        <f t="shared" si="747"/>
        <v>5200</v>
      </c>
      <c r="T989" s="43">
        <f t="shared" si="747"/>
        <v>5100</v>
      </c>
      <c r="U989" s="41" t="s">
        <v>11</v>
      </c>
      <c r="V989" s="41"/>
      <c r="W989" s="41"/>
      <c r="X989" s="41"/>
      <c r="Y989" s="43"/>
      <c r="Z989" s="499"/>
      <c r="AA989" s="538"/>
      <c r="AB989" s="43"/>
      <c r="AC989" s="43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</row>
    <row r="990" spans="1:46" s="2" customFormat="1" x14ac:dyDescent="0.25">
      <c r="A990" s="26" t="s">
        <v>101</v>
      </c>
      <c r="B990" s="26" t="s">
        <v>96</v>
      </c>
      <c r="C990" s="306"/>
      <c r="D990" s="54" t="s">
        <v>3</v>
      </c>
      <c r="E990" s="34">
        <v>42139</v>
      </c>
      <c r="F990" s="34" t="s">
        <v>269</v>
      </c>
      <c r="G990" s="320" t="s">
        <v>779</v>
      </c>
      <c r="H990" s="320">
        <v>31220256</v>
      </c>
      <c r="I990" s="320">
        <v>582006</v>
      </c>
      <c r="J990" s="2" t="s">
        <v>1</v>
      </c>
      <c r="K990" s="351">
        <v>85553</v>
      </c>
      <c r="L990" s="4">
        <v>0</v>
      </c>
      <c r="M990" s="4">
        <v>0</v>
      </c>
      <c r="N990" s="4">
        <v>0</v>
      </c>
      <c r="O990" s="4"/>
      <c r="P990" s="283">
        <v>10553</v>
      </c>
      <c r="Q990" s="283">
        <v>10000</v>
      </c>
      <c r="R990" s="283">
        <v>10000</v>
      </c>
      <c r="S990" s="283">
        <v>10000</v>
      </c>
      <c r="T990" s="283">
        <v>10000</v>
      </c>
      <c r="U990" s="283">
        <v>10000</v>
      </c>
      <c r="V990" s="283">
        <v>10000</v>
      </c>
      <c r="W990" s="283">
        <v>10000</v>
      </c>
      <c r="X990" s="283">
        <v>5000</v>
      </c>
      <c r="Y990" s="2" t="s">
        <v>11</v>
      </c>
      <c r="Z990" s="490"/>
      <c r="AA990" s="60"/>
    </row>
    <row r="991" spans="1:46" s="2" customFormat="1" x14ac:dyDescent="0.25">
      <c r="A991" s="400" t="s">
        <v>1012</v>
      </c>
      <c r="B991" s="26"/>
      <c r="C991" s="306"/>
      <c r="D991" s="54"/>
      <c r="E991" s="34" t="s">
        <v>12</v>
      </c>
      <c r="F991" s="35"/>
      <c r="G991" s="35" t="s">
        <v>780</v>
      </c>
      <c r="H991" s="35"/>
      <c r="I991" s="35"/>
      <c r="J991" s="17" t="s">
        <v>2</v>
      </c>
      <c r="K991" s="347">
        <v>9611.06</v>
      </c>
      <c r="L991" s="11">
        <v>0</v>
      </c>
      <c r="M991" s="11">
        <v>0</v>
      </c>
      <c r="N991" s="11">
        <v>0</v>
      </c>
      <c r="O991" s="11"/>
      <c r="P991" s="142">
        <f>955.53+955.53</f>
        <v>1911.06</v>
      </c>
      <c r="Q991" s="142">
        <f>850+850</f>
        <v>1700</v>
      </c>
      <c r="R991" s="142">
        <f>750+750</f>
        <v>1500</v>
      </c>
      <c r="S991" s="142">
        <f>650+650</f>
        <v>1300</v>
      </c>
      <c r="T991" s="142">
        <f>550+550</f>
        <v>1100</v>
      </c>
      <c r="U991" s="142">
        <f>450+450</f>
        <v>900</v>
      </c>
      <c r="V991" s="142">
        <f>350+350</f>
        <v>700</v>
      </c>
      <c r="W991" s="142">
        <f>200+200</f>
        <v>400</v>
      </c>
      <c r="X991" s="142">
        <f>50+50</f>
        <v>100</v>
      </c>
      <c r="Y991" s="17" t="s">
        <v>11</v>
      </c>
      <c r="Z991" s="491"/>
      <c r="AA991" s="532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</row>
    <row r="992" spans="1:46" s="6" customFormat="1" ht="13.8" thickBot="1" x14ac:dyDescent="0.3">
      <c r="A992" s="409" t="s">
        <v>1119</v>
      </c>
      <c r="B992" s="120"/>
      <c r="C992" s="307"/>
      <c r="D992" s="85"/>
      <c r="E992" s="86" t="s">
        <v>40</v>
      </c>
      <c r="F992" s="348" t="s">
        <v>409</v>
      </c>
      <c r="G992" s="125" t="s">
        <v>781</v>
      </c>
      <c r="H992" s="125"/>
      <c r="I992" s="125"/>
      <c r="J992" s="365" t="s">
        <v>6</v>
      </c>
      <c r="K992" s="350">
        <f>K991+K990</f>
        <v>95164.06</v>
      </c>
      <c r="L992" s="43">
        <f>L991+L990</f>
        <v>0</v>
      </c>
      <c r="M992" s="43">
        <f t="shared" ref="M992:S992" si="748">M991+M990</f>
        <v>0</v>
      </c>
      <c r="N992" s="43">
        <f t="shared" si="748"/>
        <v>0</v>
      </c>
      <c r="O992" s="43"/>
      <c r="P992" s="43">
        <f t="shared" si="748"/>
        <v>12464.06</v>
      </c>
      <c r="Q992" s="43">
        <f t="shared" si="748"/>
        <v>11700</v>
      </c>
      <c r="R992" s="43">
        <f t="shared" si="748"/>
        <v>11500</v>
      </c>
      <c r="S992" s="43">
        <f t="shared" si="748"/>
        <v>11300</v>
      </c>
      <c r="T992" s="43">
        <f t="shared" ref="T992:U992" si="749">T991+T990</f>
        <v>11100</v>
      </c>
      <c r="U992" s="43">
        <f t="shared" si="749"/>
        <v>10900</v>
      </c>
      <c r="V992" s="43">
        <f t="shared" ref="V992:W992" si="750">V991+V990</f>
        <v>10700</v>
      </c>
      <c r="W992" s="43">
        <f t="shared" si="750"/>
        <v>10400</v>
      </c>
      <c r="X992" s="43">
        <f t="shared" ref="X992" si="751">X991+X990</f>
        <v>5100</v>
      </c>
      <c r="Y992" s="41" t="s">
        <v>11</v>
      </c>
      <c r="Z992" s="492"/>
      <c r="AA992" s="533"/>
      <c r="AB992" s="41"/>
      <c r="AC992" s="41"/>
      <c r="AD992" s="41"/>
      <c r="AE992" s="41"/>
      <c r="AF992" s="41"/>
      <c r="AG992" s="41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</row>
    <row r="993" spans="1:46" s="2" customFormat="1" x14ac:dyDescent="0.25">
      <c r="A993" s="26" t="s">
        <v>99</v>
      </c>
      <c r="B993" s="26" t="s">
        <v>96</v>
      </c>
      <c r="C993" s="306"/>
      <c r="D993" s="54" t="s">
        <v>3</v>
      </c>
      <c r="E993" s="284">
        <v>42139</v>
      </c>
      <c r="F993" s="34" t="s">
        <v>351</v>
      </c>
      <c r="G993" s="35" t="s">
        <v>782</v>
      </c>
      <c r="H993" s="35">
        <v>31691256</v>
      </c>
      <c r="I993" s="35">
        <v>530001</v>
      </c>
      <c r="J993" s="2" t="s">
        <v>1</v>
      </c>
      <c r="K993" s="351">
        <v>20000</v>
      </c>
      <c r="L993" s="4">
        <v>0</v>
      </c>
      <c r="M993" s="4"/>
      <c r="N993" s="4"/>
      <c r="O993" s="4"/>
      <c r="P993" s="283">
        <v>5000</v>
      </c>
      <c r="Q993" s="283">
        <v>5000</v>
      </c>
      <c r="R993" s="283">
        <v>5000</v>
      </c>
      <c r="S993" s="283">
        <v>5000</v>
      </c>
      <c r="T993" s="2" t="s">
        <v>11</v>
      </c>
      <c r="Z993" s="490"/>
      <c r="AA993" s="60"/>
    </row>
    <row r="994" spans="1:46" s="2" customFormat="1" x14ac:dyDescent="0.25">
      <c r="A994" s="26"/>
      <c r="B994" s="26"/>
      <c r="C994" s="306"/>
      <c r="D994" s="54"/>
      <c r="E994" s="284" t="s">
        <v>12</v>
      </c>
      <c r="F994" s="35"/>
      <c r="G994" s="35" t="s">
        <v>783</v>
      </c>
      <c r="H994" s="35"/>
      <c r="I994" s="35"/>
      <c r="J994" s="17" t="s">
        <v>2</v>
      </c>
      <c r="K994" s="347">
        <v>1000</v>
      </c>
      <c r="L994" s="11">
        <v>0</v>
      </c>
      <c r="M994" s="11">
        <v>0</v>
      </c>
      <c r="N994" s="11">
        <v>0</v>
      </c>
      <c r="O994" s="11"/>
      <c r="P994" s="142">
        <f>200+200</f>
        <v>400</v>
      </c>
      <c r="Q994" s="142">
        <f>150+150</f>
        <v>300</v>
      </c>
      <c r="R994" s="142">
        <f>100+100</f>
        <v>200</v>
      </c>
      <c r="S994" s="142">
        <f>50+50</f>
        <v>100</v>
      </c>
      <c r="T994" s="17" t="s">
        <v>11</v>
      </c>
      <c r="Z994" s="490"/>
      <c r="AA994" s="60"/>
    </row>
    <row r="995" spans="1:46" s="6" customFormat="1" ht="13.8" thickBot="1" x14ac:dyDescent="0.3">
      <c r="A995" s="120"/>
      <c r="B995" s="120"/>
      <c r="C995" s="307"/>
      <c r="D995" s="85"/>
      <c r="E995" s="145" t="s">
        <v>15</v>
      </c>
      <c r="F995" s="403" t="s">
        <v>410</v>
      </c>
      <c r="G995" s="141"/>
      <c r="H995" s="125"/>
      <c r="I995" s="125"/>
      <c r="J995" s="365" t="s">
        <v>6</v>
      </c>
      <c r="K995" s="350">
        <f>K994+K993</f>
        <v>21000</v>
      </c>
      <c r="L995" s="43">
        <f>L994+L993</f>
        <v>0</v>
      </c>
      <c r="M995" s="43">
        <f t="shared" ref="M995:S995" si="752">M994+M993</f>
        <v>0</v>
      </c>
      <c r="N995" s="43">
        <f t="shared" si="752"/>
        <v>0</v>
      </c>
      <c r="O995" s="43"/>
      <c r="P995" s="43">
        <f t="shared" si="752"/>
        <v>5400</v>
      </c>
      <c r="Q995" s="43">
        <f t="shared" si="752"/>
        <v>5300</v>
      </c>
      <c r="R995" s="43">
        <f t="shared" si="752"/>
        <v>5200</v>
      </c>
      <c r="S995" s="43">
        <f t="shared" si="752"/>
        <v>5100</v>
      </c>
      <c r="T995" s="41" t="s">
        <v>11</v>
      </c>
      <c r="U995" s="41"/>
      <c r="V995" s="41"/>
      <c r="W995" s="41"/>
      <c r="X995" s="41"/>
      <c r="Y995" s="41"/>
      <c r="Z995" s="492"/>
      <c r="AA995" s="533"/>
      <c r="AB995" s="41"/>
      <c r="AC995" s="41"/>
      <c r="AD995" s="41"/>
      <c r="AE995" s="41"/>
      <c r="AF995" s="41"/>
      <c r="AG995" s="41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</row>
    <row r="996" spans="1:46" s="2" customFormat="1" x14ac:dyDescent="0.25">
      <c r="A996" s="26" t="s">
        <v>95</v>
      </c>
      <c r="B996" s="26" t="s">
        <v>97</v>
      </c>
      <c r="C996" s="306"/>
      <c r="D996" s="54" t="s">
        <v>3</v>
      </c>
      <c r="E996" s="34">
        <v>42139</v>
      </c>
      <c r="F996" s="34" t="s">
        <v>269</v>
      </c>
      <c r="G996" s="322" t="s">
        <v>510</v>
      </c>
      <c r="H996" s="322">
        <v>31300253</v>
      </c>
      <c r="I996" s="322">
        <v>582002</v>
      </c>
      <c r="J996" s="2" t="s">
        <v>1</v>
      </c>
      <c r="K996" s="27">
        <v>163941</v>
      </c>
      <c r="L996" s="4">
        <v>0</v>
      </c>
      <c r="M996" s="4">
        <v>0</v>
      </c>
      <c r="N996" s="4">
        <v>0</v>
      </c>
      <c r="O996" s="4"/>
      <c r="P996" s="283">
        <v>18941</v>
      </c>
      <c r="Q996" s="283">
        <v>15000</v>
      </c>
      <c r="R996" s="283">
        <v>10000</v>
      </c>
      <c r="S996" s="283">
        <v>10000</v>
      </c>
      <c r="T996" s="283">
        <v>10000</v>
      </c>
      <c r="U996" s="283">
        <v>10000</v>
      </c>
      <c r="V996" s="283">
        <v>10000</v>
      </c>
      <c r="W996" s="283">
        <v>10000</v>
      </c>
      <c r="X996" s="283">
        <v>10000</v>
      </c>
      <c r="Y996" s="283">
        <v>10000</v>
      </c>
      <c r="Z996" s="497">
        <v>10000</v>
      </c>
      <c r="AA996" s="536">
        <v>10000</v>
      </c>
      <c r="AB996" s="5">
        <v>10000</v>
      </c>
      <c r="AC996" s="5">
        <v>10000</v>
      </c>
      <c r="AD996" s="5">
        <v>10000</v>
      </c>
      <c r="AE996" s="2" t="s">
        <v>11</v>
      </c>
    </row>
    <row r="997" spans="1:46" s="2" customFormat="1" x14ac:dyDescent="0.25">
      <c r="A997" s="400" t="s">
        <v>1013</v>
      </c>
      <c r="B997" s="26"/>
      <c r="C997" s="306"/>
      <c r="D997" s="54"/>
      <c r="E997" s="317" t="s">
        <v>13</v>
      </c>
      <c r="F997" s="34" t="s">
        <v>355</v>
      </c>
      <c r="G997" s="35" t="s">
        <v>791</v>
      </c>
      <c r="H997" s="35"/>
      <c r="I997" s="35"/>
      <c r="J997" s="17" t="s">
        <v>2</v>
      </c>
      <c r="K997" s="347">
        <v>30553.82</v>
      </c>
      <c r="L997" s="11">
        <v>0</v>
      </c>
      <c r="M997" s="11">
        <v>0</v>
      </c>
      <c r="N997" s="11">
        <v>0</v>
      </c>
      <c r="O997" s="11"/>
      <c r="P997" s="142">
        <f>1914.41+1914.41</f>
        <v>3828.82</v>
      </c>
      <c r="Q997" s="142">
        <f>1725+1725</f>
        <v>3450</v>
      </c>
      <c r="R997" s="142">
        <f>1575+1575</f>
        <v>3150</v>
      </c>
      <c r="S997" s="142">
        <f>1475+1475</f>
        <v>2950</v>
      </c>
      <c r="T997" s="142">
        <f>1375+1375</f>
        <v>2750</v>
      </c>
      <c r="U997" s="142">
        <f>1275+1275</f>
        <v>2550</v>
      </c>
      <c r="V997" s="142">
        <f>1175+1175</f>
        <v>2350</v>
      </c>
      <c r="W997" s="142">
        <f>1025+1025</f>
        <v>2050</v>
      </c>
      <c r="X997" s="142">
        <f>875+875</f>
        <v>1750</v>
      </c>
      <c r="Y997" s="142">
        <f>775+775</f>
        <v>1550</v>
      </c>
      <c r="Z997" s="500">
        <f>662.5+662.5</f>
        <v>1325</v>
      </c>
      <c r="AA997" s="539">
        <f>550+550</f>
        <v>1100</v>
      </c>
      <c r="AB997" s="21">
        <f>425+425</f>
        <v>850</v>
      </c>
      <c r="AC997" s="21">
        <f>300+300</f>
        <v>600</v>
      </c>
      <c r="AD997" s="21">
        <f>150+150</f>
        <v>300</v>
      </c>
      <c r="AE997" s="17" t="s">
        <v>11</v>
      </c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</row>
    <row r="998" spans="1:46" s="6" customFormat="1" ht="13.8" thickBot="1" x14ac:dyDescent="0.3">
      <c r="A998" s="409" t="s">
        <v>1119</v>
      </c>
      <c r="B998" s="120"/>
      <c r="C998" s="307"/>
      <c r="D998" s="85"/>
      <c r="E998" s="86" t="s">
        <v>161</v>
      </c>
      <c r="F998" s="86" t="s">
        <v>408</v>
      </c>
      <c r="G998" s="125" t="s">
        <v>753</v>
      </c>
      <c r="H998" s="125"/>
      <c r="I998" s="125"/>
      <c r="J998" s="365" t="s">
        <v>6</v>
      </c>
      <c r="K998" s="350">
        <f>K997+K996</f>
        <v>194494.82</v>
      </c>
      <c r="L998" s="43">
        <f>L997+L996</f>
        <v>0</v>
      </c>
      <c r="M998" s="43">
        <f t="shared" ref="M998:S998" si="753">M997+M996</f>
        <v>0</v>
      </c>
      <c r="N998" s="43">
        <f t="shared" si="753"/>
        <v>0</v>
      </c>
      <c r="O998" s="43"/>
      <c r="P998" s="43">
        <f t="shared" si="753"/>
        <v>22769.82</v>
      </c>
      <c r="Q998" s="43">
        <f t="shared" si="753"/>
        <v>18450</v>
      </c>
      <c r="R998" s="43">
        <f t="shared" si="753"/>
        <v>13150</v>
      </c>
      <c r="S998" s="43">
        <f t="shared" si="753"/>
        <v>12950</v>
      </c>
      <c r="T998" s="43">
        <f t="shared" ref="T998:V998" si="754">T997+T996</f>
        <v>12750</v>
      </c>
      <c r="U998" s="43">
        <f t="shared" si="754"/>
        <v>12550</v>
      </c>
      <c r="V998" s="43">
        <f t="shared" si="754"/>
        <v>12350</v>
      </c>
      <c r="W998" s="43">
        <f t="shared" ref="W998:AB998" si="755">W997+W996</f>
        <v>12050</v>
      </c>
      <c r="X998" s="43">
        <f>X997+X996</f>
        <v>11750</v>
      </c>
      <c r="Y998" s="43">
        <f t="shared" si="755"/>
        <v>11550</v>
      </c>
      <c r="Z998" s="499">
        <f t="shared" si="755"/>
        <v>11325</v>
      </c>
      <c r="AA998" s="538">
        <f t="shared" si="755"/>
        <v>11100</v>
      </c>
      <c r="AB998" s="43">
        <f t="shared" si="755"/>
        <v>10850</v>
      </c>
      <c r="AC998" s="43">
        <f t="shared" ref="AC998:AD998" si="756">AC997+AC996</f>
        <v>10600</v>
      </c>
      <c r="AD998" s="43">
        <f t="shared" si="756"/>
        <v>10300</v>
      </c>
      <c r="AE998" s="41" t="s">
        <v>11</v>
      </c>
      <c r="AF998" s="41"/>
      <c r="AG998" s="41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</row>
    <row r="999" spans="1:46" s="2" customFormat="1" x14ac:dyDescent="0.25">
      <c r="A999" s="26" t="s">
        <v>95</v>
      </c>
      <c r="B999" s="26" t="s">
        <v>97</v>
      </c>
      <c r="C999" s="306"/>
      <c r="D999" s="54" t="s">
        <v>3</v>
      </c>
      <c r="E999" s="34">
        <v>42139</v>
      </c>
      <c r="F999" s="34" t="s">
        <v>269</v>
      </c>
      <c r="G999" s="35" t="s">
        <v>484</v>
      </c>
      <c r="H999" s="35">
        <v>31300251</v>
      </c>
      <c r="I999" s="35">
        <v>582006</v>
      </c>
      <c r="J999" s="2" t="s">
        <v>1</v>
      </c>
      <c r="K999" s="27">
        <v>55445</v>
      </c>
      <c r="L999" s="4">
        <v>0</v>
      </c>
      <c r="M999" s="4">
        <v>0</v>
      </c>
      <c r="N999" s="4">
        <v>0</v>
      </c>
      <c r="O999" s="4"/>
      <c r="P999" s="283">
        <v>10445</v>
      </c>
      <c r="Q999" s="283">
        <v>10000</v>
      </c>
      <c r="R999" s="283">
        <v>10000</v>
      </c>
      <c r="S999" s="283">
        <v>10000</v>
      </c>
      <c r="T999" s="283">
        <v>10000</v>
      </c>
      <c r="U999" s="283">
        <v>5000</v>
      </c>
      <c r="V999" s="2" t="s">
        <v>11</v>
      </c>
      <c r="W999" s="283"/>
      <c r="X999" s="283"/>
      <c r="Y999" s="283"/>
      <c r="Z999" s="497"/>
      <c r="AA999" s="536"/>
      <c r="AB999" s="5"/>
      <c r="AC999" s="5"/>
    </row>
    <row r="1000" spans="1:46" s="2" customFormat="1" x14ac:dyDescent="0.25">
      <c r="A1000" s="400" t="s">
        <v>1014</v>
      </c>
      <c r="B1000" s="26"/>
      <c r="C1000" s="306"/>
      <c r="D1000" s="54"/>
      <c r="E1000" s="34" t="s">
        <v>13</v>
      </c>
      <c r="F1000" s="34" t="s">
        <v>355</v>
      </c>
      <c r="G1000" s="35" t="s">
        <v>789</v>
      </c>
      <c r="H1000" s="35"/>
      <c r="I1000" s="35"/>
      <c r="J1000" s="17" t="s">
        <v>2</v>
      </c>
      <c r="K1000" s="28">
        <v>3608.9</v>
      </c>
      <c r="L1000" s="11">
        <v>0</v>
      </c>
      <c r="M1000" s="11">
        <v>0</v>
      </c>
      <c r="N1000" s="11">
        <v>0</v>
      </c>
      <c r="O1000" s="11"/>
      <c r="P1000" s="142">
        <f>554.45+554.45</f>
        <v>1108.9000000000001</v>
      </c>
      <c r="Q1000" s="142">
        <f>450+450</f>
        <v>900</v>
      </c>
      <c r="R1000" s="142">
        <f>350+350</f>
        <v>700</v>
      </c>
      <c r="S1000" s="142">
        <f>250+250</f>
        <v>500</v>
      </c>
      <c r="T1000" s="142">
        <f>150+150</f>
        <v>300</v>
      </c>
      <c r="U1000" s="142">
        <f>50+50</f>
        <v>100</v>
      </c>
      <c r="V1000" s="17" t="s">
        <v>11</v>
      </c>
      <c r="W1000" s="142"/>
      <c r="X1000" s="142"/>
      <c r="Y1000" s="142"/>
      <c r="Z1000" s="500"/>
      <c r="AA1000" s="539"/>
      <c r="AB1000" s="21"/>
      <c r="AC1000" s="21"/>
    </row>
    <row r="1001" spans="1:46" s="6" customFormat="1" ht="13.8" thickBot="1" x14ac:dyDescent="0.3">
      <c r="A1001" s="120"/>
      <c r="B1001" s="120"/>
      <c r="C1001" s="307"/>
      <c r="D1001" s="85"/>
      <c r="E1001" s="86" t="s">
        <v>161</v>
      </c>
      <c r="F1001" s="86" t="s">
        <v>410</v>
      </c>
      <c r="G1001" s="125" t="s">
        <v>751</v>
      </c>
      <c r="H1001" s="125"/>
      <c r="I1001" s="125"/>
      <c r="J1001" s="41" t="s">
        <v>6</v>
      </c>
      <c r="K1001" s="42">
        <f>K1000+K999</f>
        <v>59053.9</v>
      </c>
      <c r="L1001" s="43">
        <f>L1000+L999</f>
        <v>0</v>
      </c>
      <c r="M1001" s="43">
        <f t="shared" ref="M1001:N1001" si="757">M1000+M999</f>
        <v>0</v>
      </c>
      <c r="N1001" s="43">
        <f t="shared" si="757"/>
        <v>0</v>
      </c>
      <c r="O1001" s="43"/>
      <c r="P1001" s="43">
        <f t="shared" ref="P1001:T1001" si="758">P1000+P999</f>
        <v>11553.9</v>
      </c>
      <c r="Q1001" s="43">
        <f t="shared" si="758"/>
        <v>10900</v>
      </c>
      <c r="R1001" s="43">
        <f t="shared" si="758"/>
        <v>10700</v>
      </c>
      <c r="S1001" s="43">
        <f t="shared" si="758"/>
        <v>10500</v>
      </c>
      <c r="T1001" s="43">
        <f t="shared" si="758"/>
        <v>10300</v>
      </c>
      <c r="U1001" s="43">
        <f t="shared" ref="U1001" si="759">U1000+U999</f>
        <v>5100</v>
      </c>
      <c r="V1001" s="41" t="s">
        <v>11</v>
      </c>
      <c r="W1001" s="43"/>
      <c r="X1001" s="43"/>
      <c r="Y1001" s="43"/>
      <c r="Z1001" s="499"/>
      <c r="AA1001" s="538"/>
      <c r="AB1001" s="43"/>
      <c r="AC1001" s="43"/>
      <c r="AD1001" s="41"/>
      <c r="AE1001" s="41"/>
      <c r="AF1001" s="41"/>
      <c r="AG1001" s="41"/>
      <c r="AH1001" s="41"/>
      <c r="AI1001" s="41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</row>
    <row r="1002" spans="1:46" s="2" customFormat="1" x14ac:dyDescent="0.25">
      <c r="A1002" s="26" t="s">
        <v>99</v>
      </c>
      <c r="B1002" s="26" t="s">
        <v>96</v>
      </c>
      <c r="C1002" s="306"/>
      <c r="D1002" s="54" t="s">
        <v>3</v>
      </c>
      <c r="E1002" s="34">
        <v>42139</v>
      </c>
      <c r="F1002" s="34" t="s">
        <v>266</v>
      </c>
      <c r="G1002" s="35" t="s">
        <v>784</v>
      </c>
      <c r="H1002" s="35">
        <v>31422248</v>
      </c>
      <c r="I1002" s="35">
        <v>584017</v>
      </c>
      <c r="J1002" s="2" t="s">
        <v>1</v>
      </c>
      <c r="K1002" s="27">
        <v>50000</v>
      </c>
      <c r="L1002" s="4">
        <v>0</v>
      </c>
      <c r="M1002" s="4">
        <v>0</v>
      </c>
      <c r="N1002" s="4">
        <v>0</v>
      </c>
      <c r="O1002" s="4"/>
      <c r="P1002" s="283">
        <v>10000</v>
      </c>
      <c r="Q1002" s="283">
        <v>10000</v>
      </c>
      <c r="R1002" s="283">
        <v>10000</v>
      </c>
      <c r="S1002" s="283">
        <v>10000</v>
      </c>
      <c r="T1002" s="283">
        <v>10000</v>
      </c>
      <c r="U1002" s="2" t="s">
        <v>11</v>
      </c>
      <c r="Z1002" s="490"/>
      <c r="AA1002" s="60"/>
    </row>
    <row r="1003" spans="1:46" s="2" customFormat="1" x14ac:dyDescent="0.25">
      <c r="A1003" s="400" t="s">
        <v>1015</v>
      </c>
      <c r="B1003" s="26"/>
      <c r="C1003" s="306"/>
      <c r="D1003" s="54"/>
      <c r="E1003" s="34" t="s">
        <v>12</v>
      </c>
      <c r="F1003" s="34"/>
      <c r="G1003" s="35" t="s">
        <v>785</v>
      </c>
      <c r="H1003" s="35"/>
      <c r="I1003" s="35"/>
      <c r="J1003" s="17" t="s">
        <v>2</v>
      </c>
      <c r="K1003" s="28">
        <v>3000</v>
      </c>
      <c r="L1003" s="11">
        <v>0</v>
      </c>
      <c r="M1003" s="11">
        <v>0</v>
      </c>
      <c r="N1003" s="11">
        <v>0</v>
      </c>
      <c r="O1003" s="11"/>
      <c r="P1003" s="142">
        <f>500+500</f>
        <v>1000</v>
      </c>
      <c r="Q1003" s="142">
        <f>400+400</f>
        <v>800</v>
      </c>
      <c r="R1003" s="142">
        <f>300+300</f>
        <v>600</v>
      </c>
      <c r="S1003" s="142">
        <f>200+200</f>
        <v>400</v>
      </c>
      <c r="T1003" s="142">
        <f>100+100</f>
        <v>200</v>
      </c>
      <c r="U1003" s="17" t="s">
        <v>11</v>
      </c>
      <c r="V1003" s="17"/>
      <c r="W1003" s="17"/>
      <c r="X1003" s="17"/>
      <c r="Y1003" s="17"/>
      <c r="Z1003" s="491"/>
      <c r="AA1003" s="532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</row>
    <row r="1004" spans="1:46" s="6" customFormat="1" ht="13.8" thickBot="1" x14ac:dyDescent="0.3">
      <c r="A1004" s="120"/>
      <c r="B1004" s="120"/>
      <c r="C1004" s="307"/>
      <c r="D1004" s="85"/>
      <c r="E1004" s="86" t="s">
        <v>15</v>
      </c>
      <c r="F1004" s="86" t="s">
        <v>410</v>
      </c>
      <c r="G1004" s="141"/>
      <c r="H1004" s="125"/>
      <c r="I1004" s="125"/>
      <c r="J1004" s="41" t="s">
        <v>6</v>
      </c>
      <c r="K1004" s="42">
        <f>K1003+K1002</f>
        <v>53000</v>
      </c>
      <c r="L1004" s="43">
        <f>L1003+L1002</f>
        <v>0</v>
      </c>
      <c r="M1004" s="43">
        <f t="shared" ref="M1004:N1004" si="760">M1003+M1002</f>
        <v>0</v>
      </c>
      <c r="N1004" s="43">
        <f t="shared" si="760"/>
        <v>0</v>
      </c>
      <c r="O1004" s="43"/>
      <c r="P1004" s="43">
        <f t="shared" ref="P1004:T1004" si="761">P1003+P1002</f>
        <v>11000</v>
      </c>
      <c r="Q1004" s="43">
        <f t="shared" si="761"/>
        <v>10800</v>
      </c>
      <c r="R1004" s="43">
        <f t="shared" si="761"/>
        <v>10600</v>
      </c>
      <c r="S1004" s="43">
        <f t="shared" si="761"/>
        <v>10400</v>
      </c>
      <c r="T1004" s="43">
        <f t="shared" si="761"/>
        <v>10200</v>
      </c>
      <c r="U1004" s="41" t="s">
        <v>11</v>
      </c>
      <c r="V1004" s="41"/>
      <c r="W1004" s="41"/>
      <c r="X1004" s="41"/>
      <c r="Y1004" s="41"/>
      <c r="Z1004" s="492"/>
      <c r="AA1004" s="533"/>
      <c r="AB1004" s="41"/>
      <c r="AC1004" s="41"/>
      <c r="AD1004" s="41"/>
      <c r="AE1004" s="41"/>
      <c r="AF1004" s="41"/>
      <c r="AG1004" s="41"/>
      <c r="AH1004" s="41"/>
      <c r="AI1004" s="41"/>
      <c r="AJ1004" s="41"/>
      <c r="AK1004" s="41"/>
      <c r="AL1004" s="41"/>
      <c r="AM1004" s="41"/>
      <c r="AN1004" s="41"/>
      <c r="AO1004" s="41"/>
      <c r="AP1004" s="41"/>
      <c r="AQ1004" s="41"/>
      <c r="AR1004" s="41"/>
      <c r="AS1004" s="41"/>
      <c r="AT1004" s="41"/>
    </row>
    <row r="1005" spans="1:46" s="2" customFormat="1" x14ac:dyDescent="0.25">
      <c r="A1005" s="26" t="s">
        <v>99</v>
      </c>
      <c r="B1005" s="26" t="s">
        <v>96</v>
      </c>
      <c r="C1005" s="306"/>
      <c r="D1005" s="54" t="s">
        <v>3</v>
      </c>
      <c r="E1005" s="34">
        <v>42139</v>
      </c>
      <c r="F1005" s="34" t="s">
        <v>341</v>
      </c>
      <c r="G1005" s="35" t="s">
        <v>205</v>
      </c>
      <c r="H1005" s="35">
        <v>31422193</v>
      </c>
      <c r="I1005" s="35">
        <v>586202</v>
      </c>
      <c r="J1005" s="2" t="s">
        <v>1</v>
      </c>
      <c r="K1005" s="27">
        <v>70000</v>
      </c>
      <c r="L1005" s="4">
        <v>0</v>
      </c>
      <c r="M1005" s="4">
        <v>0</v>
      </c>
      <c r="N1005" s="4">
        <v>0</v>
      </c>
      <c r="O1005" s="4"/>
      <c r="P1005" s="283">
        <v>10000</v>
      </c>
      <c r="Q1005" s="283">
        <v>10000</v>
      </c>
      <c r="R1005" s="283">
        <v>10000</v>
      </c>
      <c r="S1005" s="283">
        <v>10000</v>
      </c>
      <c r="T1005" s="283">
        <v>10000</v>
      </c>
      <c r="U1005" s="283">
        <v>10000</v>
      </c>
      <c r="V1005" s="283">
        <v>10000</v>
      </c>
      <c r="W1005" s="2" t="s">
        <v>11</v>
      </c>
      <c r="Z1005" s="490"/>
      <c r="AA1005" s="60"/>
    </row>
    <row r="1006" spans="1:46" s="2" customFormat="1" x14ac:dyDescent="0.25">
      <c r="A1006" s="400" t="s">
        <v>1016</v>
      </c>
      <c r="B1006" s="26"/>
      <c r="C1006" s="306"/>
      <c r="D1006" s="54"/>
      <c r="E1006" s="34" t="s">
        <v>12</v>
      </c>
      <c r="F1006" s="35"/>
      <c r="G1006" s="35" t="s">
        <v>793</v>
      </c>
      <c r="H1006" s="35"/>
      <c r="I1006" s="35"/>
      <c r="J1006" s="17" t="s">
        <v>2</v>
      </c>
      <c r="K1006" s="347">
        <v>6300</v>
      </c>
      <c r="L1006" s="11">
        <v>0</v>
      </c>
      <c r="M1006" s="11">
        <v>0</v>
      </c>
      <c r="N1006" s="11">
        <v>0</v>
      </c>
      <c r="O1006" s="11"/>
      <c r="P1006" s="142">
        <f>750+750</f>
        <v>1500</v>
      </c>
      <c r="Q1006" s="142">
        <f>650+650</f>
        <v>1300</v>
      </c>
      <c r="R1006" s="142">
        <f>550+550</f>
        <v>1100</v>
      </c>
      <c r="S1006" s="142">
        <f>450+450</f>
        <v>900</v>
      </c>
      <c r="T1006" s="142">
        <f>350+350</f>
        <v>700</v>
      </c>
      <c r="U1006" s="142">
        <f>250+250</f>
        <v>500</v>
      </c>
      <c r="V1006" s="142">
        <f>150+150</f>
        <v>300</v>
      </c>
      <c r="W1006" s="17" t="s">
        <v>11</v>
      </c>
      <c r="X1006" s="17"/>
      <c r="Y1006" s="17"/>
      <c r="Z1006" s="491"/>
      <c r="AA1006" s="532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</row>
    <row r="1007" spans="1:46" s="6" customFormat="1" ht="13.8" thickBot="1" x14ac:dyDescent="0.3">
      <c r="A1007" s="409" t="s">
        <v>1119</v>
      </c>
      <c r="B1007" s="120"/>
      <c r="C1007" s="307"/>
      <c r="D1007" s="85"/>
      <c r="E1007" s="86" t="s">
        <v>15</v>
      </c>
      <c r="F1007" s="86" t="s">
        <v>410</v>
      </c>
      <c r="G1007" s="141"/>
      <c r="H1007" s="125"/>
      <c r="I1007" s="125"/>
      <c r="J1007" s="41" t="s">
        <v>6</v>
      </c>
      <c r="K1007" s="42">
        <f>K1006+K1005</f>
        <v>76300</v>
      </c>
      <c r="L1007" s="43">
        <f>L1006+L1005</f>
        <v>0</v>
      </c>
      <c r="M1007" s="43">
        <f t="shared" ref="M1007:T1007" si="762">M1006+M1005</f>
        <v>0</v>
      </c>
      <c r="N1007" s="43">
        <f t="shared" si="762"/>
        <v>0</v>
      </c>
      <c r="O1007" s="43"/>
      <c r="P1007" s="43">
        <f t="shared" si="762"/>
        <v>11500</v>
      </c>
      <c r="Q1007" s="43">
        <f t="shared" si="762"/>
        <v>11300</v>
      </c>
      <c r="R1007" s="43">
        <f t="shared" si="762"/>
        <v>11100</v>
      </c>
      <c r="S1007" s="43">
        <f t="shared" si="762"/>
        <v>10900</v>
      </c>
      <c r="T1007" s="43">
        <f t="shared" si="762"/>
        <v>10700</v>
      </c>
      <c r="U1007" s="43">
        <f t="shared" ref="U1007:V1007" si="763">U1006+U1005</f>
        <v>10500</v>
      </c>
      <c r="V1007" s="43">
        <f t="shared" si="763"/>
        <v>10300</v>
      </c>
      <c r="W1007" s="41" t="s">
        <v>11</v>
      </c>
      <c r="X1007" s="41"/>
      <c r="Y1007" s="41"/>
      <c r="Z1007" s="492"/>
      <c r="AA1007" s="533"/>
      <c r="AB1007" s="41"/>
      <c r="AC1007" s="41"/>
      <c r="AD1007" s="41"/>
      <c r="AE1007" s="41"/>
      <c r="AF1007" s="41"/>
      <c r="AG1007" s="41"/>
      <c r="AH1007" s="41"/>
      <c r="AI1007" s="41"/>
      <c r="AJ1007" s="41"/>
      <c r="AK1007" s="41"/>
      <c r="AL1007" s="41"/>
      <c r="AM1007" s="41"/>
      <c r="AN1007" s="41"/>
      <c r="AO1007" s="41"/>
      <c r="AP1007" s="41"/>
      <c r="AQ1007" s="41"/>
      <c r="AR1007" s="41"/>
      <c r="AS1007" s="41"/>
      <c r="AT1007" s="41"/>
    </row>
    <row r="1008" spans="1:46" s="3" customFormat="1" x14ac:dyDescent="0.25">
      <c r="A1008" s="121"/>
      <c r="B1008" s="121"/>
      <c r="C1008" s="306"/>
      <c r="D1008" s="54"/>
      <c r="E1008" s="54"/>
      <c r="F1008" s="54"/>
      <c r="G1008" s="36" t="s">
        <v>32</v>
      </c>
      <c r="H1008" s="152">
        <v>1774019</v>
      </c>
      <c r="I1008" s="36">
        <v>591100</v>
      </c>
      <c r="J1008" s="33" t="s">
        <v>1</v>
      </c>
      <c r="K1008" s="37">
        <f>K1005+K1002+K999+K996+K993+K990+K987+K984+K981+K978+K975+K972+K969+K966+K963+K960+K957+K954+K951+K948+K945</f>
        <v>3502986</v>
      </c>
      <c r="L1008" s="7">
        <v>0</v>
      </c>
      <c r="M1008" s="7">
        <v>0</v>
      </c>
      <c r="N1008" s="67"/>
      <c r="O1008" s="67"/>
      <c r="P1008" s="67">
        <f>P1005+P1002+P999+P996+P993+P990+P987+P984+P981+P978+P975+P972+P969+P966+P963+P960+P957+P954+P951+P948+P945</f>
        <v>467986</v>
      </c>
      <c r="Q1008" s="67">
        <f>Q1005+Q1002+Q999+Q996+Q993+Q990+Q987+Q984+Q981+Q978+Q975+Q972+Q969+Q966+Q963+Q960+Q957+Q954+Q951+Q948+Q945</f>
        <v>430000</v>
      </c>
      <c r="R1008" s="67">
        <f t="shared" ref="R1008:S1008" si="764">R1005+R1002+R999+R996+R993+R990+R987+R984+R981+R978+R975+R972+R969+R966+R963+R960+R957+R954+R951+R948+R945</f>
        <v>420000</v>
      </c>
      <c r="S1008" s="67">
        <f t="shared" si="764"/>
        <v>405000</v>
      </c>
      <c r="T1008" s="67">
        <f>T1005+T1002+T999+T996+T990+T987+T984+T981+T978+T975+T972+T969+T966+T963+T960+T957+T954+T951+T948+T945</f>
        <v>395000</v>
      </c>
      <c r="U1008" s="67">
        <f>U1005+U999+U996+U990+U972+U966+U963+U957+U951+U948+U945</f>
        <v>220000</v>
      </c>
      <c r="V1008" s="67">
        <f>V1005+V996+V990+V972+V966+V963+V957+V951+V948+V945</f>
        <v>215000</v>
      </c>
      <c r="W1008" s="67">
        <f>W996+W990+W972+W966+W963+W957+W951+W948+W945</f>
        <v>205000</v>
      </c>
      <c r="X1008" s="67">
        <f>X996+X990+X972+X966+X963+X957+X951+X948+X945</f>
        <v>200000</v>
      </c>
      <c r="Y1008" s="67">
        <f>Y996+Y972+Y966+Y963+Y957+Y951+Y948+Y945</f>
        <v>195000</v>
      </c>
      <c r="Z1008" s="507">
        <f>Z996+Z972+Z963+Z945</f>
        <v>70000</v>
      </c>
      <c r="AA1008" s="546">
        <f t="shared" ref="AA1008:AC1008" si="765">AA996+AA972+AA963+AA945</f>
        <v>70000</v>
      </c>
      <c r="AB1008" s="67">
        <f t="shared" si="765"/>
        <v>70000</v>
      </c>
      <c r="AC1008" s="67">
        <f t="shared" si="765"/>
        <v>70000</v>
      </c>
      <c r="AD1008" s="67">
        <f>AD996+AD972+AD963+AD945</f>
        <v>70000</v>
      </c>
      <c r="AE1008" s="3" t="s">
        <v>11</v>
      </c>
    </row>
    <row r="1009" spans="1:46" s="3" customFormat="1" x14ac:dyDescent="0.25">
      <c r="A1009" s="121"/>
      <c r="B1009" s="121"/>
      <c r="C1009" s="306"/>
      <c r="D1009" s="54"/>
      <c r="E1009" s="54"/>
      <c r="F1009" s="54"/>
      <c r="G1009" s="33"/>
      <c r="H1009" s="152">
        <v>1774019</v>
      </c>
      <c r="I1009" s="33">
        <v>595100</v>
      </c>
      <c r="J1009" s="38" t="s">
        <v>2</v>
      </c>
      <c r="K1009" s="37">
        <f>K1006+K1003+K1000+K997+K994+K991+K988+K985+K982+K979+K976+K973+K970+K967+K964+K961+K958+K955+K952+K949+K946</f>
        <v>446259.72000000003</v>
      </c>
      <c r="L1009" s="16">
        <v>0</v>
      </c>
      <c r="M1009" s="16"/>
      <c r="N1009" s="7"/>
      <c r="O1009" s="7"/>
      <c r="P1009" s="7">
        <f>P1006+P1003+P1000+P997+P994+P991+P988+P985+P982+P979+P976+P973+P970+P967+P964+P961+P958+P955+P952+P949+P946</f>
        <v>77022.22</v>
      </c>
      <c r="Q1009" s="7">
        <f>Q1006+Q1003+Q1000+Q997+Q994+Q991+Q988+Q985+Q982+Q979+Q976+Q973+Q970+Q967+Q964+Q961+Q958+Q955+Q952+Q949+Q946</f>
        <v>67662.5</v>
      </c>
      <c r="R1009" s="7">
        <f t="shared" ref="R1009:S1009" si="766">R1006+R1003+R1000+R997+R994+R991+R988+R985+R982+R979+R976+R973+R970+R967+R964+R961+R958+R955+R952+R949+R946</f>
        <v>59062.5</v>
      </c>
      <c r="S1009" s="7">
        <f t="shared" si="766"/>
        <v>50662.5</v>
      </c>
      <c r="T1009" s="7">
        <f>T1006+T1003+T1000+T997+T991+T988+T985+T982+T979+T976+T973+T970+T967+T964+T961+T958+T955+T952+T949+T946</f>
        <v>42562.5</v>
      </c>
      <c r="U1009" s="7">
        <f>U1006+U1000+U997+U991+U973+U967+U964+U958+U952+U949+U946</f>
        <v>34662.5</v>
      </c>
      <c r="V1009" s="7">
        <f>V1006+V997+V991+V973+V967+V964+V958+V952+V949+V946</f>
        <v>30262.5</v>
      </c>
      <c r="W1009" s="7">
        <f>W997+W991+W973+W967+W964+W958+W952+W949+W946</f>
        <v>23812.5</v>
      </c>
      <c r="X1009" s="7">
        <f>X997+X991+X973+X967+X964+X958+X952+X949+X946</f>
        <v>17662.5</v>
      </c>
      <c r="Y1009" s="7">
        <f>Y997+Y973+Y967+Y964+Y958+Y952+Y949+Y946</f>
        <v>13662.5</v>
      </c>
      <c r="Z1009" s="501">
        <f>Z997+Z973+Z964+Z946</f>
        <v>9275</v>
      </c>
      <c r="AA1009" s="540">
        <f t="shared" ref="AA1009:AD1009" si="767">AA997+AA973+AA964+AA946</f>
        <v>7700</v>
      </c>
      <c r="AB1009" s="7">
        <f t="shared" si="767"/>
        <v>5950</v>
      </c>
      <c r="AC1009" s="7">
        <f t="shared" si="767"/>
        <v>4200</v>
      </c>
      <c r="AD1009" s="7">
        <f t="shared" si="767"/>
        <v>2100</v>
      </c>
      <c r="AE1009" s="20" t="s">
        <v>11</v>
      </c>
      <c r="AF1009" s="20"/>
      <c r="AG1009" s="20"/>
      <c r="AH1009" s="20"/>
      <c r="AI1009" s="20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</row>
    <row r="1010" spans="1:46" s="8" customFormat="1" ht="13.8" thickBot="1" x14ac:dyDescent="0.3">
      <c r="A1010" s="122"/>
      <c r="B1010" s="122"/>
      <c r="C1010" s="307"/>
      <c r="D1010" s="85"/>
      <c r="E1010" s="85"/>
      <c r="F1010" s="85"/>
      <c r="G1010" s="85"/>
      <c r="H1010" s="85"/>
      <c r="I1010" s="85"/>
      <c r="J1010" s="44" t="s">
        <v>5</v>
      </c>
      <c r="K1010" s="45">
        <f>K1009+K1008</f>
        <v>3949245.72</v>
      </c>
      <c r="L1010" s="46">
        <f>L1009+L1008</f>
        <v>0</v>
      </c>
      <c r="M1010" s="46"/>
      <c r="N1010" s="46"/>
      <c r="O1010" s="46"/>
      <c r="P1010" s="46">
        <f t="shared" ref="P1010:T1010" si="768">P1009+P1008</f>
        <v>545008.22</v>
      </c>
      <c r="Q1010" s="46">
        <f t="shared" si="768"/>
        <v>497662.5</v>
      </c>
      <c r="R1010" s="46">
        <f t="shared" si="768"/>
        <v>479062.5</v>
      </c>
      <c r="S1010" s="46">
        <f t="shared" si="768"/>
        <v>455662.5</v>
      </c>
      <c r="T1010" s="46">
        <f t="shared" si="768"/>
        <v>437562.5</v>
      </c>
      <c r="U1010" s="46">
        <f t="shared" ref="U1010:AC1010" si="769">U1009+U1008</f>
        <v>254662.5</v>
      </c>
      <c r="V1010" s="46">
        <f t="shared" si="769"/>
        <v>245262.5</v>
      </c>
      <c r="W1010" s="46">
        <f t="shared" si="769"/>
        <v>228812.5</v>
      </c>
      <c r="X1010" s="46">
        <f t="shared" ref="X1010:Y1010" si="770">X1009+X1008</f>
        <v>217662.5</v>
      </c>
      <c r="Y1010" s="46">
        <f t="shared" si="770"/>
        <v>208662.5</v>
      </c>
      <c r="Z1010" s="503">
        <f t="shared" ref="Z1010:AB1010" si="771">Z1009+Z1008</f>
        <v>79275</v>
      </c>
      <c r="AA1010" s="542">
        <f t="shared" si="771"/>
        <v>77700</v>
      </c>
      <c r="AB1010" s="46">
        <f t="shared" si="771"/>
        <v>75950</v>
      </c>
      <c r="AC1010" s="46">
        <f t="shared" si="769"/>
        <v>74200</v>
      </c>
      <c r="AD1010" s="46">
        <f t="shared" ref="AD1010" si="772">AD1009+AD1008</f>
        <v>72100</v>
      </c>
      <c r="AE1010" s="47" t="s">
        <v>11</v>
      </c>
      <c r="AF1010" s="47"/>
      <c r="AG1010" s="47"/>
      <c r="AH1010" s="47"/>
      <c r="AI1010" s="47"/>
      <c r="AJ1010" s="47"/>
      <c r="AK1010" s="47"/>
      <c r="AL1010" s="47"/>
      <c r="AM1010" s="47"/>
      <c r="AN1010" s="47"/>
      <c r="AO1010" s="47"/>
      <c r="AP1010" s="47"/>
      <c r="AQ1010" s="47"/>
      <c r="AR1010" s="47"/>
      <c r="AS1010" s="47"/>
      <c r="AT1010" s="47"/>
    </row>
    <row r="1011" spans="1:46" s="6" customFormat="1" x14ac:dyDescent="0.25">
      <c r="A1011" s="26" t="s">
        <v>0</v>
      </c>
      <c r="B1011" s="26" t="s">
        <v>96</v>
      </c>
      <c r="C1011" s="306"/>
      <c r="D1011" s="332" t="s">
        <v>0</v>
      </c>
      <c r="E1011" s="24">
        <v>42139</v>
      </c>
      <c r="F1011" s="24" t="s">
        <v>266</v>
      </c>
      <c r="G1011" s="315" t="s">
        <v>113</v>
      </c>
      <c r="H1011" s="315">
        <v>60310256</v>
      </c>
      <c r="I1011" s="315">
        <v>584009</v>
      </c>
      <c r="J1011" s="2" t="s">
        <v>1</v>
      </c>
      <c r="K1011" s="351">
        <v>1000000</v>
      </c>
      <c r="L1011" s="4">
        <v>0</v>
      </c>
      <c r="M1011" s="4">
        <v>0</v>
      </c>
      <c r="N1011" s="4">
        <v>0</v>
      </c>
      <c r="O1011" s="4"/>
      <c r="P1011" s="283">
        <v>70000</v>
      </c>
      <c r="Q1011" s="283">
        <v>70000</v>
      </c>
      <c r="R1011" s="283">
        <v>70000</v>
      </c>
      <c r="S1011" s="283">
        <v>70000</v>
      </c>
      <c r="T1011" s="283">
        <v>70000</v>
      </c>
      <c r="U1011" s="283">
        <v>65000</v>
      </c>
      <c r="V1011" s="283">
        <v>65000</v>
      </c>
      <c r="W1011" s="283">
        <v>65000</v>
      </c>
      <c r="X1011" s="283">
        <v>65000</v>
      </c>
      <c r="Y1011" s="283">
        <v>65000</v>
      </c>
      <c r="Z1011" s="497">
        <v>65000</v>
      </c>
      <c r="AA1011" s="536">
        <v>65000</v>
      </c>
      <c r="AB1011" s="283">
        <v>65000</v>
      </c>
      <c r="AC1011" s="283">
        <v>65000</v>
      </c>
      <c r="AD1011" s="283">
        <v>65000</v>
      </c>
      <c r="AE1011" s="2" t="s">
        <v>11</v>
      </c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</row>
    <row r="1012" spans="1:46" s="6" customFormat="1" x14ac:dyDescent="0.25">
      <c r="A1012" s="400" t="s">
        <v>1017</v>
      </c>
      <c r="B1012" s="26"/>
      <c r="C1012" s="306"/>
      <c r="D1012" s="352"/>
      <c r="E1012" s="24" t="s">
        <v>12</v>
      </c>
      <c r="F1012" s="331"/>
      <c r="G1012" s="15" t="s">
        <v>786</v>
      </c>
      <c r="H1012" s="15"/>
      <c r="I1012" s="15"/>
      <c r="J1012" s="17" t="s">
        <v>2</v>
      </c>
      <c r="K1012" s="347">
        <v>197637.5</v>
      </c>
      <c r="L1012" s="11">
        <v>0</v>
      </c>
      <c r="M1012" s="11">
        <v>0</v>
      </c>
      <c r="N1012" s="11">
        <v>0</v>
      </c>
      <c r="O1012" s="11"/>
      <c r="P1012" s="142">
        <f>11787.5+11787.5</f>
        <v>23575</v>
      </c>
      <c r="Q1012" s="142">
        <f>11087.5+11087.5</f>
        <v>22175</v>
      </c>
      <c r="R1012" s="142">
        <f>10387.5+10387.5</f>
        <v>20775</v>
      </c>
      <c r="S1012" s="142">
        <f>9687.5+9687.5</f>
        <v>19375</v>
      </c>
      <c r="T1012" s="142">
        <f>8987.5+8987.5</f>
        <v>17975</v>
      </c>
      <c r="U1012" s="142">
        <f>8287.5+8287.5</f>
        <v>16575</v>
      </c>
      <c r="V1012" s="142">
        <f>7637.5+7637.5</f>
        <v>15275</v>
      </c>
      <c r="W1012" s="142">
        <f>6662.5+6662.5</f>
        <v>13325</v>
      </c>
      <c r="X1012" s="142">
        <f>5687.5+5687.5</f>
        <v>11375</v>
      </c>
      <c r="Y1012" s="142">
        <f>5037.5+5037.5</f>
        <v>10075</v>
      </c>
      <c r="Z1012" s="500">
        <f>4306.25+4306.25</f>
        <v>8612.5</v>
      </c>
      <c r="AA1012" s="539">
        <f>3575+3575</f>
        <v>7150</v>
      </c>
      <c r="AB1012" s="142">
        <f>2762.5+2762.5</f>
        <v>5525</v>
      </c>
      <c r="AC1012" s="142">
        <f>1950+1950</f>
        <v>3900</v>
      </c>
      <c r="AD1012" s="142">
        <f>975+975</f>
        <v>1950</v>
      </c>
      <c r="AE1012" s="17" t="s">
        <v>11</v>
      </c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</row>
    <row r="1013" spans="1:46" s="6" customFormat="1" ht="13.8" thickBot="1" x14ac:dyDescent="0.3">
      <c r="A1013" s="409" t="s">
        <v>1119</v>
      </c>
      <c r="B1013" s="120"/>
      <c r="C1013" s="307"/>
      <c r="D1013" s="353"/>
      <c r="E1013" s="88" t="s">
        <v>14</v>
      </c>
      <c r="F1013" s="88" t="s">
        <v>406</v>
      </c>
      <c r="G1013" s="149"/>
      <c r="H1013" s="143"/>
      <c r="I1013" s="143"/>
      <c r="J1013" s="365" t="s">
        <v>6</v>
      </c>
      <c r="K1013" s="350">
        <f>K1012+K1011</f>
        <v>1197637.5</v>
      </c>
      <c r="L1013" s="43">
        <f>L1012+L1011</f>
        <v>0</v>
      </c>
      <c r="M1013" s="43">
        <f t="shared" ref="M1013:V1013" si="773">M1012+M1011</f>
        <v>0</v>
      </c>
      <c r="N1013" s="43">
        <f t="shared" si="773"/>
        <v>0</v>
      </c>
      <c r="O1013" s="43"/>
      <c r="P1013" s="43">
        <f t="shared" si="773"/>
        <v>93575</v>
      </c>
      <c r="Q1013" s="43">
        <f t="shared" si="773"/>
        <v>92175</v>
      </c>
      <c r="R1013" s="43">
        <f t="shared" si="773"/>
        <v>90775</v>
      </c>
      <c r="S1013" s="43">
        <f t="shared" si="773"/>
        <v>89375</v>
      </c>
      <c r="T1013" s="43">
        <f t="shared" si="773"/>
        <v>87975</v>
      </c>
      <c r="U1013" s="43">
        <f t="shared" si="773"/>
        <v>81575</v>
      </c>
      <c r="V1013" s="43">
        <f t="shared" si="773"/>
        <v>80275</v>
      </c>
      <c r="W1013" s="43">
        <f t="shared" ref="W1013:AD1013" si="774">W1012+W1011</f>
        <v>78325</v>
      </c>
      <c r="X1013" s="43">
        <f t="shared" si="774"/>
        <v>76375</v>
      </c>
      <c r="Y1013" s="43">
        <f t="shared" si="774"/>
        <v>75075</v>
      </c>
      <c r="Z1013" s="499">
        <f t="shared" si="774"/>
        <v>73612.5</v>
      </c>
      <c r="AA1013" s="538">
        <f t="shared" si="774"/>
        <v>72150</v>
      </c>
      <c r="AB1013" s="43">
        <f t="shared" si="774"/>
        <v>70525</v>
      </c>
      <c r="AC1013" s="43">
        <f t="shared" si="774"/>
        <v>68900</v>
      </c>
      <c r="AD1013" s="43">
        <f t="shared" si="774"/>
        <v>66950</v>
      </c>
      <c r="AE1013" s="41" t="s">
        <v>11</v>
      </c>
      <c r="AF1013" s="41"/>
      <c r="AG1013" s="41"/>
      <c r="AH1013" s="41"/>
      <c r="AI1013" s="41"/>
      <c r="AJ1013" s="41"/>
      <c r="AK1013" s="41"/>
      <c r="AL1013" s="41"/>
      <c r="AM1013" s="41"/>
      <c r="AN1013" s="41"/>
      <c r="AO1013" s="41"/>
      <c r="AP1013" s="41"/>
      <c r="AQ1013" s="41"/>
      <c r="AR1013" s="41"/>
      <c r="AS1013" s="41"/>
      <c r="AT1013" s="41"/>
    </row>
    <row r="1014" spans="1:46" s="6" customFormat="1" x14ac:dyDescent="0.25">
      <c r="A1014" s="26" t="s">
        <v>0</v>
      </c>
      <c r="B1014" s="26" t="s">
        <v>96</v>
      </c>
      <c r="C1014" s="306"/>
      <c r="D1014" s="332" t="s">
        <v>0</v>
      </c>
      <c r="E1014" s="24">
        <v>42139</v>
      </c>
      <c r="F1014" s="24" t="s">
        <v>266</v>
      </c>
      <c r="G1014" s="315" t="s">
        <v>113</v>
      </c>
      <c r="H1014" s="315">
        <v>60310241</v>
      </c>
      <c r="I1014" s="315">
        <v>584009</v>
      </c>
      <c r="J1014" s="2" t="s">
        <v>1</v>
      </c>
      <c r="K1014" s="351">
        <v>400000</v>
      </c>
      <c r="L1014" s="4">
        <v>0</v>
      </c>
      <c r="M1014" s="4">
        <v>0</v>
      </c>
      <c r="N1014" s="4">
        <v>0</v>
      </c>
      <c r="O1014" s="4"/>
      <c r="P1014" s="283">
        <v>30000</v>
      </c>
      <c r="Q1014" s="283">
        <v>30000</v>
      </c>
      <c r="R1014" s="283">
        <v>30000</v>
      </c>
      <c r="S1014" s="283">
        <v>30000</v>
      </c>
      <c r="T1014" s="283">
        <v>30000</v>
      </c>
      <c r="U1014" s="283">
        <v>25000</v>
      </c>
      <c r="V1014" s="283">
        <v>25000</v>
      </c>
      <c r="W1014" s="283">
        <v>25000</v>
      </c>
      <c r="X1014" s="283">
        <v>25000</v>
      </c>
      <c r="Y1014" s="283">
        <v>25000</v>
      </c>
      <c r="Z1014" s="497">
        <v>25000</v>
      </c>
      <c r="AA1014" s="536">
        <v>25000</v>
      </c>
      <c r="AB1014" s="283">
        <v>25000</v>
      </c>
      <c r="AC1014" s="283">
        <v>25000</v>
      </c>
      <c r="AD1014" s="283">
        <v>25000</v>
      </c>
      <c r="AE1014" s="2" t="s">
        <v>11</v>
      </c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</row>
    <row r="1015" spans="1:46" s="6" customFormat="1" x14ac:dyDescent="0.25">
      <c r="A1015" s="400" t="s">
        <v>1018</v>
      </c>
      <c r="B1015" s="26"/>
      <c r="C1015" s="306"/>
      <c r="D1015" s="352"/>
      <c r="E1015" s="24" t="s">
        <v>12</v>
      </c>
      <c r="F1015" s="331"/>
      <c r="G1015" s="15" t="s">
        <v>246</v>
      </c>
      <c r="H1015" s="15"/>
      <c r="I1015" s="15"/>
      <c r="J1015" s="17" t="s">
        <v>6</v>
      </c>
      <c r="K1015" s="347">
        <v>76937.5</v>
      </c>
      <c r="L1015" s="11">
        <v>0</v>
      </c>
      <c r="M1015" s="11">
        <v>0</v>
      </c>
      <c r="N1015" s="11">
        <v>0</v>
      </c>
      <c r="O1015" s="11"/>
      <c r="P1015" s="142">
        <f>4687.5+4687.5</f>
        <v>9375</v>
      </c>
      <c r="Q1015" s="142">
        <f>4387.5+4387.5</f>
        <v>8775</v>
      </c>
      <c r="R1015" s="142">
        <f>4087.5+4087.5</f>
        <v>8175</v>
      </c>
      <c r="S1015" s="142">
        <f>3787.5+3787.5</f>
        <v>7575</v>
      </c>
      <c r="T1015" s="142">
        <f>3487.5+3487.5</f>
        <v>6975</v>
      </c>
      <c r="U1015" s="142">
        <f>3187.5+3187.5</f>
        <v>6375</v>
      </c>
      <c r="V1015" s="142">
        <f>2937.5+2937.5</f>
        <v>5875</v>
      </c>
      <c r="W1015" s="142">
        <f>2562.5+2562.5</f>
        <v>5125</v>
      </c>
      <c r="X1015" s="142">
        <f>2187.5+2187.5</f>
        <v>4375</v>
      </c>
      <c r="Y1015" s="142">
        <f>1937.5+1937.5</f>
        <v>3875</v>
      </c>
      <c r="Z1015" s="500">
        <f>1656.25+1656.25</f>
        <v>3312.5</v>
      </c>
      <c r="AA1015" s="539">
        <f>1375+1375</f>
        <v>2750</v>
      </c>
      <c r="AB1015" s="142">
        <f>1062.5+1062.5</f>
        <v>2125</v>
      </c>
      <c r="AC1015" s="142">
        <f>750+750</f>
        <v>1500</v>
      </c>
      <c r="AD1015" s="142">
        <f>375+375</f>
        <v>750</v>
      </c>
      <c r="AE1015" s="17" t="s">
        <v>11</v>
      </c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</row>
    <row r="1016" spans="1:46" s="6" customFormat="1" ht="13.8" thickBot="1" x14ac:dyDescent="0.3">
      <c r="A1016" s="409" t="s">
        <v>1119</v>
      </c>
      <c r="B1016" s="120"/>
      <c r="C1016" s="307"/>
      <c r="D1016" s="353"/>
      <c r="E1016" s="88" t="s">
        <v>14</v>
      </c>
      <c r="F1016" s="88" t="s">
        <v>406</v>
      </c>
      <c r="G1016" s="140"/>
      <c r="H1016" s="143"/>
      <c r="I1016" s="143"/>
      <c r="J1016" s="349" t="s">
        <v>5</v>
      </c>
      <c r="K1016" s="350">
        <f>K1015+K1014</f>
        <v>476937.5</v>
      </c>
      <c r="L1016" s="43">
        <f>L1015+L1014</f>
        <v>0</v>
      </c>
      <c r="M1016" s="43">
        <f t="shared" ref="M1016:N1016" si="775">M1015+M1014</f>
        <v>0</v>
      </c>
      <c r="N1016" s="43">
        <f t="shared" si="775"/>
        <v>0</v>
      </c>
      <c r="O1016" s="43"/>
      <c r="P1016" s="43">
        <f t="shared" ref="P1016:AD1016" si="776">P1015+P1014</f>
        <v>39375</v>
      </c>
      <c r="Q1016" s="43">
        <f t="shared" si="776"/>
        <v>38775</v>
      </c>
      <c r="R1016" s="43">
        <f t="shared" si="776"/>
        <v>38175</v>
      </c>
      <c r="S1016" s="43">
        <f t="shared" si="776"/>
        <v>37575</v>
      </c>
      <c r="T1016" s="43">
        <f t="shared" si="776"/>
        <v>36975</v>
      </c>
      <c r="U1016" s="43">
        <f t="shared" si="776"/>
        <v>31375</v>
      </c>
      <c r="V1016" s="43">
        <f t="shared" si="776"/>
        <v>30875</v>
      </c>
      <c r="W1016" s="43">
        <f t="shared" si="776"/>
        <v>30125</v>
      </c>
      <c r="X1016" s="43">
        <f t="shared" si="776"/>
        <v>29375</v>
      </c>
      <c r="Y1016" s="43">
        <f t="shared" si="776"/>
        <v>28875</v>
      </c>
      <c r="Z1016" s="499">
        <f t="shared" si="776"/>
        <v>28312.5</v>
      </c>
      <c r="AA1016" s="538">
        <f t="shared" si="776"/>
        <v>27750</v>
      </c>
      <c r="AB1016" s="43">
        <f t="shared" si="776"/>
        <v>27125</v>
      </c>
      <c r="AC1016" s="43">
        <f t="shared" si="776"/>
        <v>26500</v>
      </c>
      <c r="AD1016" s="43">
        <f t="shared" si="776"/>
        <v>25750</v>
      </c>
      <c r="AE1016" s="41" t="s">
        <v>11</v>
      </c>
      <c r="AF1016" s="41"/>
      <c r="AG1016" s="41"/>
      <c r="AH1016" s="41"/>
      <c r="AI1016" s="41"/>
      <c r="AJ1016" s="41"/>
      <c r="AK1016" s="41"/>
      <c r="AL1016" s="41"/>
      <c r="AM1016" s="41"/>
      <c r="AN1016" s="41"/>
      <c r="AO1016" s="41"/>
      <c r="AP1016" s="41"/>
      <c r="AQ1016" s="41"/>
      <c r="AR1016" s="41"/>
      <c r="AS1016" s="41"/>
      <c r="AT1016" s="41"/>
    </row>
    <row r="1017" spans="1:46" s="8" customFormat="1" x14ac:dyDescent="0.25">
      <c r="A1017" s="121"/>
      <c r="B1017" s="121"/>
      <c r="C1017" s="306"/>
      <c r="D1017" s="332"/>
      <c r="E1017" s="332"/>
      <c r="F1017" s="332"/>
      <c r="G1017" s="13" t="s">
        <v>33</v>
      </c>
      <c r="H1017" s="13">
        <v>60774019</v>
      </c>
      <c r="I1017" s="13">
        <v>591100</v>
      </c>
      <c r="J1017" s="14" t="s">
        <v>1</v>
      </c>
      <c r="K1017" s="29">
        <f>K1014+K1011</f>
        <v>1400000</v>
      </c>
      <c r="L1017" s="7">
        <v>0</v>
      </c>
      <c r="M1017" s="7">
        <v>0</v>
      </c>
      <c r="N1017" s="67">
        <f>N1011</f>
        <v>0</v>
      </c>
      <c r="O1017" s="67"/>
      <c r="P1017" s="67">
        <f>P1014+P1011</f>
        <v>100000</v>
      </c>
      <c r="Q1017" s="67">
        <f t="shared" ref="Q1017:W1017" si="777">Q1014+Q1011</f>
        <v>100000</v>
      </c>
      <c r="R1017" s="67">
        <f t="shared" si="777"/>
        <v>100000</v>
      </c>
      <c r="S1017" s="67">
        <f t="shared" si="777"/>
        <v>100000</v>
      </c>
      <c r="T1017" s="67">
        <f t="shared" si="777"/>
        <v>100000</v>
      </c>
      <c r="U1017" s="67">
        <f t="shared" si="777"/>
        <v>90000</v>
      </c>
      <c r="V1017" s="67">
        <f t="shared" si="777"/>
        <v>90000</v>
      </c>
      <c r="W1017" s="67">
        <f t="shared" si="777"/>
        <v>90000</v>
      </c>
      <c r="X1017" s="67">
        <f>X1014+X1011</f>
        <v>90000</v>
      </c>
      <c r="Y1017" s="67">
        <f t="shared" ref="Y1017:AD1017" si="778">Y1014+Y1011</f>
        <v>90000</v>
      </c>
      <c r="Z1017" s="507">
        <f t="shared" si="778"/>
        <v>90000</v>
      </c>
      <c r="AA1017" s="546">
        <f t="shared" si="778"/>
        <v>90000</v>
      </c>
      <c r="AB1017" s="67">
        <f t="shared" si="778"/>
        <v>90000</v>
      </c>
      <c r="AC1017" s="67">
        <f t="shared" si="778"/>
        <v>90000</v>
      </c>
      <c r="AD1017" s="67">
        <f t="shared" si="778"/>
        <v>90000</v>
      </c>
      <c r="AE1017" s="3" t="s">
        <v>11</v>
      </c>
      <c r="AF1017" s="2"/>
      <c r="AG1017" s="2"/>
      <c r="AH1017" s="2"/>
      <c r="AI1017" s="2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</row>
    <row r="1018" spans="1:46" s="8" customFormat="1" x14ac:dyDescent="0.25">
      <c r="A1018" s="121"/>
      <c r="B1018" s="121"/>
      <c r="C1018" s="306"/>
      <c r="D1018" s="14"/>
      <c r="E1018" s="14"/>
      <c r="F1018" s="14"/>
      <c r="G1018" s="14"/>
      <c r="H1018" s="13">
        <v>60774019</v>
      </c>
      <c r="I1018" s="14">
        <v>595100</v>
      </c>
      <c r="J1018" s="18" t="s">
        <v>2</v>
      </c>
      <c r="K1018" s="30">
        <f>K1015+K1012</f>
        <v>274575</v>
      </c>
      <c r="L1018" s="16">
        <v>0</v>
      </c>
      <c r="M1018" s="16">
        <v>0</v>
      </c>
      <c r="N1018" s="16">
        <f>N1012</f>
        <v>0</v>
      </c>
      <c r="O1018" s="16"/>
      <c r="P1018" s="16">
        <f>P1015+P1012</f>
        <v>32950</v>
      </c>
      <c r="Q1018" s="16">
        <f t="shared" ref="Q1018:X1018" si="779">Q1015+Q1012</f>
        <v>30950</v>
      </c>
      <c r="R1018" s="16">
        <f t="shared" si="779"/>
        <v>28950</v>
      </c>
      <c r="S1018" s="16">
        <f t="shared" si="779"/>
        <v>26950</v>
      </c>
      <c r="T1018" s="16">
        <f t="shared" si="779"/>
        <v>24950</v>
      </c>
      <c r="U1018" s="16">
        <f t="shared" si="779"/>
        <v>22950</v>
      </c>
      <c r="V1018" s="16">
        <f t="shared" si="779"/>
        <v>21150</v>
      </c>
      <c r="W1018" s="16">
        <f t="shared" si="779"/>
        <v>18450</v>
      </c>
      <c r="X1018" s="16">
        <f t="shared" si="779"/>
        <v>15750</v>
      </c>
      <c r="Y1018" s="16">
        <f t="shared" ref="Y1018:AD1018" si="780">Y1015+Y1012</f>
        <v>13950</v>
      </c>
      <c r="Z1018" s="502">
        <f t="shared" si="780"/>
        <v>11925</v>
      </c>
      <c r="AA1018" s="541">
        <f t="shared" si="780"/>
        <v>9900</v>
      </c>
      <c r="AB1018" s="16">
        <f t="shared" si="780"/>
        <v>7650</v>
      </c>
      <c r="AC1018" s="16">
        <f t="shared" si="780"/>
        <v>5400</v>
      </c>
      <c r="AD1018" s="16">
        <f t="shared" si="780"/>
        <v>2700</v>
      </c>
      <c r="AE1018" s="20" t="s">
        <v>11</v>
      </c>
      <c r="AF1018" s="17"/>
      <c r="AG1018" s="17"/>
      <c r="AH1018" s="17"/>
      <c r="AI1018" s="17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</row>
    <row r="1019" spans="1:46" s="8" customFormat="1" ht="13.8" thickBot="1" x14ac:dyDescent="0.3">
      <c r="A1019" s="122"/>
      <c r="B1019" s="122"/>
      <c r="C1019" s="307"/>
      <c r="D1019" s="87"/>
      <c r="E1019" s="87"/>
      <c r="F1019" s="87"/>
      <c r="G1019" s="87"/>
      <c r="H1019" s="87"/>
      <c r="I1019" s="87"/>
      <c r="J1019" s="50" t="s">
        <v>5</v>
      </c>
      <c r="K1019" s="51">
        <f>K1018+K1017</f>
        <v>1674575</v>
      </c>
      <c r="L1019" s="46">
        <f>L1018+L1017</f>
        <v>0</v>
      </c>
      <c r="M1019" s="46">
        <f t="shared" ref="M1019" si="781">M1018+M1017</f>
        <v>0</v>
      </c>
      <c r="N1019" s="46">
        <f>N1018+N1017</f>
        <v>0</v>
      </c>
      <c r="O1019" s="46"/>
      <c r="P1019" s="46">
        <f>P1018+P1017</f>
        <v>132950</v>
      </c>
      <c r="Q1019" s="46">
        <f t="shared" ref="Q1019:AD1019" si="782">Q1018+Q1017</f>
        <v>130950</v>
      </c>
      <c r="R1019" s="46">
        <f t="shared" si="782"/>
        <v>128950</v>
      </c>
      <c r="S1019" s="46">
        <f t="shared" si="782"/>
        <v>126950</v>
      </c>
      <c r="T1019" s="46">
        <f t="shared" si="782"/>
        <v>124950</v>
      </c>
      <c r="U1019" s="46">
        <f t="shared" si="782"/>
        <v>112950</v>
      </c>
      <c r="V1019" s="46">
        <f t="shared" si="782"/>
        <v>111150</v>
      </c>
      <c r="W1019" s="46">
        <f t="shared" si="782"/>
        <v>108450</v>
      </c>
      <c r="X1019" s="46">
        <f t="shared" si="782"/>
        <v>105750</v>
      </c>
      <c r="Y1019" s="46">
        <f t="shared" si="782"/>
        <v>103950</v>
      </c>
      <c r="Z1019" s="503">
        <f t="shared" si="782"/>
        <v>101925</v>
      </c>
      <c r="AA1019" s="542">
        <f t="shared" si="782"/>
        <v>99900</v>
      </c>
      <c r="AB1019" s="46">
        <f t="shared" si="782"/>
        <v>97650</v>
      </c>
      <c r="AC1019" s="46">
        <f t="shared" si="782"/>
        <v>95400</v>
      </c>
      <c r="AD1019" s="46">
        <f t="shared" si="782"/>
        <v>92700</v>
      </c>
      <c r="AE1019" s="47" t="s">
        <v>11</v>
      </c>
      <c r="AF1019" s="41"/>
      <c r="AG1019" s="41"/>
      <c r="AH1019" s="41"/>
      <c r="AI1019" s="41"/>
      <c r="AJ1019" s="47"/>
      <c r="AK1019" s="47"/>
      <c r="AL1019" s="47"/>
      <c r="AM1019" s="47"/>
      <c r="AN1019" s="47"/>
      <c r="AO1019" s="47"/>
      <c r="AP1019" s="47"/>
      <c r="AQ1019" s="47"/>
      <c r="AR1019" s="47"/>
      <c r="AS1019" s="47"/>
      <c r="AT1019" s="47"/>
    </row>
    <row r="1020" spans="1:46" s="6" customFormat="1" x14ac:dyDescent="0.25">
      <c r="A1020" s="26" t="s">
        <v>4</v>
      </c>
      <c r="B1020" s="26" t="s">
        <v>97</v>
      </c>
      <c r="C1020" s="306"/>
      <c r="D1020" s="10" t="s">
        <v>4</v>
      </c>
      <c r="E1020" s="25">
        <v>42139</v>
      </c>
      <c r="F1020" s="25" t="s">
        <v>267</v>
      </c>
      <c r="G1020" s="316" t="s">
        <v>794</v>
      </c>
      <c r="H1020" s="316">
        <v>61319248</v>
      </c>
      <c r="I1020" s="316">
        <v>586100</v>
      </c>
      <c r="J1020" s="2" t="s">
        <v>1</v>
      </c>
      <c r="K1020" s="27">
        <v>250000</v>
      </c>
      <c r="L1020" s="4">
        <v>0</v>
      </c>
      <c r="M1020" s="4">
        <v>0</v>
      </c>
      <c r="N1020" s="4">
        <v>39400</v>
      </c>
      <c r="O1020" s="4"/>
      <c r="P1020" s="283">
        <v>25000</v>
      </c>
      <c r="Q1020" s="283">
        <v>25000</v>
      </c>
      <c r="R1020" s="283">
        <v>25000</v>
      </c>
      <c r="S1020" s="283">
        <v>25000</v>
      </c>
      <c r="T1020" s="283">
        <v>25000</v>
      </c>
      <c r="U1020" s="283">
        <v>25000</v>
      </c>
      <c r="V1020" s="283">
        <v>25000</v>
      </c>
      <c r="W1020" s="283">
        <v>25000</v>
      </c>
      <c r="X1020" s="283">
        <v>25000</v>
      </c>
      <c r="Y1020" s="283">
        <v>25000</v>
      </c>
      <c r="Z1020" s="490" t="s">
        <v>11</v>
      </c>
      <c r="AA1020" s="60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</row>
    <row r="1021" spans="1:46" s="6" customFormat="1" x14ac:dyDescent="0.25">
      <c r="A1021" s="400" t="s">
        <v>1019</v>
      </c>
      <c r="B1021" s="26"/>
      <c r="C1021" s="306"/>
      <c r="D1021" s="84"/>
      <c r="E1021" s="317" t="s">
        <v>13</v>
      </c>
      <c r="F1021" s="25"/>
      <c r="G1021" s="12" t="s">
        <v>795</v>
      </c>
      <c r="H1021" s="12"/>
      <c r="I1021" s="354"/>
      <c r="J1021" s="17" t="s">
        <v>2</v>
      </c>
      <c r="K1021" s="28">
        <v>31875</v>
      </c>
      <c r="L1021" s="11">
        <v>0</v>
      </c>
      <c r="M1021" s="11">
        <v>0</v>
      </c>
      <c r="N1021" s="11">
        <f>6557+6557</f>
        <v>13114</v>
      </c>
      <c r="O1021" s="11"/>
      <c r="P1021" s="142">
        <f>2781.25+2781.25</f>
        <v>5562.5</v>
      </c>
      <c r="Q1021" s="142">
        <f>2531.25+2531.25</f>
        <v>5062.5</v>
      </c>
      <c r="R1021" s="142">
        <f>2281.25+2281.25</f>
        <v>4562.5</v>
      </c>
      <c r="S1021" s="142">
        <f>2031.25+2031.25</f>
        <v>4062.5</v>
      </c>
      <c r="T1021" s="142">
        <f>1781.25+1781.25</f>
        <v>3562.5</v>
      </c>
      <c r="U1021" s="142">
        <f>1531.25+1531.25</f>
        <v>3062.5</v>
      </c>
      <c r="V1021" s="142">
        <f>1281.25+1281.25</f>
        <v>2562.5</v>
      </c>
      <c r="W1021" s="142">
        <f>906.25+906.25</f>
        <v>1812.5</v>
      </c>
      <c r="X1021" s="142">
        <f>531.25+531.25</f>
        <v>1062.5</v>
      </c>
      <c r="Y1021" s="142">
        <f>281.25+281.25</f>
        <v>562.5</v>
      </c>
      <c r="Z1021" s="491" t="s">
        <v>11</v>
      </c>
      <c r="AA1021" s="532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</row>
    <row r="1022" spans="1:46" s="6" customFormat="1" ht="13.8" thickBot="1" x14ac:dyDescent="0.3">
      <c r="A1022" s="409" t="s">
        <v>1119</v>
      </c>
      <c r="B1022" s="120"/>
      <c r="C1022" s="307"/>
      <c r="D1022" s="89"/>
      <c r="E1022" s="90" t="s">
        <v>16</v>
      </c>
      <c r="F1022" s="90" t="s">
        <v>407</v>
      </c>
      <c r="G1022" s="355"/>
      <c r="H1022" s="124"/>
      <c r="I1022" s="124"/>
      <c r="J1022" s="41" t="s">
        <v>6</v>
      </c>
      <c r="K1022" s="42">
        <f>K1021+K1020</f>
        <v>281875</v>
      </c>
      <c r="L1022" s="43">
        <f>L1021+L1020</f>
        <v>0</v>
      </c>
      <c r="M1022" s="43">
        <f t="shared" ref="M1022:N1022" si="783">M1021+M1020</f>
        <v>0</v>
      </c>
      <c r="N1022" s="43">
        <f t="shared" si="783"/>
        <v>52514</v>
      </c>
      <c r="O1022" s="43"/>
      <c r="P1022" s="43">
        <f t="shared" ref="P1022:Y1022" si="784">P1021+P1020</f>
        <v>30562.5</v>
      </c>
      <c r="Q1022" s="43">
        <f t="shared" si="784"/>
        <v>30062.5</v>
      </c>
      <c r="R1022" s="43">
        <f t="shared" si="784"/>
        <v>29562.5</v>
      </c>
      <c r="S1022" s="43">
        <f t="shared" si="784"/>
        <v>29062.5</v>
      </c>
      <c r="T1022" s="43">
        <f t="shared" si="784"/>
        <v>28562.5</v>
      </c>
      <c r="U1022" s="43">
        <f t="shared" si="784"/>
        <v>28062.5</v>
      </c>
      <c r="V1022" s="43">
        <f t="shared" si="784"/>
        <v>27562.5</v>
      </c>
      <c r="W1022" s="43">
        <f t="shared" si="784"/>
        <v>26812.5</v>
      </c>
      <c r="X1022" s="43">
        <f t="shared" si="784"/>
        <v>26062.5</v>
      </c>
      <c r="Y1022" s="43">
        <f t="shared" si="784"/>
        <v>25562.5</v>
      </c>
      <c r="Z1022" s="492" t="s">
        <v>11</v>
      </c>
      <c r="AA1022" s="533"/>
      <c r="AB1022" s="41"/>
      <c r="AC1022" s="41"/>
      <c r="AD1022" s="41"/>
      <c r="AE1022" s="41"/>
      <c r="AF1022" s="41"/>
      <c r="AG1022" s="41"/>
      <c r="AH1022" s="41"/>
      <c r="AI1022" s="41"/>
      <c r="AJ1022" s="41"/>
      <c r="AK1022" s="41"/>
      <c r="AL1022" s="41"/>
      <c r="AM1022" s="41"/>
      <c r="AN1022" s="41"/>
      <c r="AO1022" s="41"/>
      <c r="AP1022" s="41"/>
      <c r="AQ1022" s="41"/>
      <c r="AR1022" s="41"/>
      <c r="AS1022" s="41"/>
      <c r="AT1022" s="41"/>
    </row>
    <row r="1023" spans="1:46" s="6" customFormat="1" x14ac:dyDescent="0.25">
      <c r="A1023" s="26" t="s">
        <v>4</v>
      </c>
      <c r="B1023" s="26" t="s">
        <v>97</v>
      </c>
      <c r="C1023" s="306"/>
      <c r="D1023" s="10" t="s">
        <v>4</v>
      </c>
      <c r="E1023" s="25">
        <v>42139</v>
      </c>
      <c r="F1023" s="25" t="s">
        <v>267</v>
      </c>
      <c r="G1023" s="316" t="s">
        <v>794</v>
      </c>
      <c r="H1023" s="316">
        <v>61310241</v>
      </c>
      <c r="I1023" s="316">
        <v>586100</v>
      </c>
      <c r="J1023" s="2" t="s">
        <v>1</v>
      </c>
      <c r="K1023" s="27">
        <v>750000</v>
      </c>
      <c r="L1023" s="4">
        <v>0</v>
      </c>
      <c r="M1023" s="4">
        <v>0</v>
      </c>
      <c r="N1023" s="4">
        <v>39400</v>
      </c>
      <c r="O1023" s="4"/>
      <c r="P1023" s="283">
        <v>50000</v>
      </c>
      <c r="Q1023" s="283">
        <v>50000</v>
      </c>
      <c r="R1023" s="283">
        <v>50000</v>
      </c>
      <c r="S1023" s="283">
        <v>50000</v>
      </c>
      <c r="T1023" s="283">
        <v>50000</v>
      </c>
      <c r="U1023" s="283">
        <v>50000</v>
      </c>
      <c r="V1023" s="283">
        <v>50000</v>
      </c>
      <c r="W1023" s="283">
        <v>50000</v>
      </c>
      <c r="X1023" s="283">
        <v>50000</v>
      </c>
      <c r="Y1023" s="283">
        <v>50000</v>
      </c>
      <c r="Z1023" s="497">
        <v>50000</v>
      </c>
      <c r="AA1023" s="536">
        <v>50000</v>
      </c>
      <c r="AB1023" s="283">
        <v>50000</v>
      </c>
      <c r="AC1023" s="283">
        <v>50000</v>
      </c>
      <c r="AD1023" s="283">
        <v>50000</v>
      </c>
      <c r="AE1023" s="2" t="s">
        <v>11</v>
      </c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</row>
    <row r="1024" spans="1:46" s="6" customFormat="1" x14ac:dyDescent="0.25">
      <c r="A1024" s="400" t="s">
        <v>1020</v>
      </c>
      <c r="B1024" s="26"/>
      <c r="C1024" s="306"/>
      <c r="D1024" s="84"/>
      <c r="E1024" s="317" t="s">
        <v>13</v>
      </c>
      <c r="F1024" s="25"/>
      <c r="G1024" s="12" t="s">
        <v>796</v>
      </c>
      <c r="H1024" s="12"/>
      <c r="I1024" s="354"/>
      <c r="J1024" s="17" t="s">
        <v>2</v>
      </c>
      <c r="K1024" s="28">
        <v>150875</v>
      </c>
      <c r="L1024" s="11">
        <v>0</v>
      </c>
      <c r="M1024" s="11">
        <v>0</v>
      </c>
      <c r="N1024" s="11">
        <f>6557+6557</f>
        <v>13114</v>
      </c>
      <c r="O1024" s="11"/>
      <c r="P1024" s="142">
        <f>8875+8875</f>
        <v>17750</v>
      </c>
      <c r="Q1024" s="142">
        <f>8375+8375</f>
        <v>16750</v>
      </c>
      <c r="R1024" s="142">
        <f>7875+7875</f>
        <v>15750</v>
      </c>
      <c r="S1024" s="142">
        <f>7375+7375</f>
        <v>14750</v>
      </c>
      <c r="T1024" s="142">
        <f>6875+6875</f>
        <v>13750</v>
      </c>
      <c r="U1024" s="142">
        <f>6375+6375</f>
        <v>12750</v>
      </c>
      <c r="V1024" s="142">
        <f>5875+5875</f>
        <v>11750</v>
      </c>
      <c r="W1024" s="142">
        <f>5125+5125</f>
        <v>10250</v>
      </c>
      <c r="X1024" s="142">
        <f>4375+4375</f>
        <v>8750</v>
      </c>
      <c r="Y1024" s="142">
        <f>3875+3875</f>
        <v>7750</v>
      </c>
      <c r="Z1024" s="500">
        <f>3312.5+3312.5</f>
        <v>6625</v>
      </c>
      <c r="AA1024" s="539">
        <f>2750+2750</f>
        <v>5500</v>
      </c>
      <c r="AB1024" s="142">
        <f>2125+2125</f>
        <v>4250</v>
      </c>
      <c r="AC1024" s="142">
        <f>1500+1500</f>
        <v>3000</v>
      </c>
      <c r="AD1024" s="142">
        <f>750+750</f>
        <v>1500</v>
      </c>
      <c r="AE1024" s="17" t="s">
        <v>11</v>
      </c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</row>
    <row r="1025" spans="1:46" s="6" customFormat="1" ht="13.8" thickBot="1" x14ac:dyDescent="0.3">
      <c r="A1025" s="409" t="s">
        <v>1119</v>
      </c>
      <c r="B1025" s="120"/>
      <c r="C1025" s="307"/>
      <c r="D1025" s="89"/>
      <c r="E1025" s="90" t="s">
        <v>16</v>
      </c>
      <c r="F1025" s="90" t="s">
        <v>407</v>
      </c>
      <c r="G1025" s="355"/>
      <c r="H1025" s="124"/>
      <c r="I1025" s="124"/>
      <c r="J1025" s="41" t="s">
        <v>6</v>
      </c>
      <c r="K1025" s="42">
        <f>K1024+K1023</f>
        <v>900875</v>
      </c>
      <c r="L1025" s="43">
        <f>L1024+L1023</f>
        <v>0</v>
      </c>
      <c r="M1025" s="43">
        <f t="shared" ref="M1025:N1025" si="785">M1024+M1023</f>
        <v>0</v>
      </c>
      <c r="N1025" s="43">
        <f t="shared" si="785"/>
        <v>52514</v>
      </c>
      <c r="O1025" s="43"/>
      <c r="P1025" s="43">
        <f t="shared" ref="P1025:AD1025" si="786">P1024+P1023</f>
        <v>67750</v>
      </c>
      <c r="Q1025" s="43">
        <f t="shared" si="786"/>
        <v>66750</v>
      </c>
      <c r="R1025" s="43">
        <f t="shared" si="786"/>
        <v>65750</v>
      </c>
      <c r="S1025" s="43">
        <f t="shared" si="786"/>
        <v>64750</v>
      </c>
      <c r="T1025" s="43">
        <f t="shared" si="786"/>
        <v>63750</v>
      </c>
      <c r="U1025" s="43">
        <f t="shared" si="786"/>
        <v>62750</v>
      </c>
      <c r="V1025" s="43">
        <f t="shared" si="786"/>
        <v>61750</v>
      </c>
      <c r="W1025" s="43">
        <f t="shared" si="786"/>
        <v>60250</v>
      </c>
      <c r="X1025" s="43">
        <f t="shared" si="786"/>
        <v>58750</v>
      </c>
      <c r="Y1025" s="43">
        <f t="shared" si="786"/>
        <v>57750</v>
      </c>
      <c r="Z1025" s="499">
        <f t="shared" si="786"/>
        <v>56625</v>
      </c>
      <c r="AA1025" s="538">
        <f t="shared" si="786"/>
        <v>55500</v>
      </c>
      <c r="AB1025" s="43">
        <f t="shared" si="786"/>
        <v>54250</v>
      </c>
      <c r="AC1025" s="43">
        <f t="shared" si="786"/>
        <v>53000</v>
      </c>
      <c r="AD1025" s="43">
        <f t="shared" si="786"/>
        <v>51500</v>
      </c>
      <c r="AE1025" s="41" t="s">
        <v>11</v>
      </c>
      <c r="AF1025" s="41"/>
      <c r="AG1025" s="41"/>
      <c r="AH1025" s="41"/>
      <c r="AI1025" s="41"/>
      <c r="AJ1025" s="41"/>
      <c r="AK1025" s="41"/>
      <c r="AL1025" s="41"/>
      <c r="AM1025" s="41"/>
      <c r="AN1025" s="41"/>
      <c r="AO1025" s="41"/>
      <c r="AP1025" s="41"/>
      <c r="AQ1025" s="41"/>
      <c r="AR1025" s="41"/>
      <c r="AS1025" s="41"/>
      <c r="AT1025" s="41"/>
    </row>
    <row r="1026" spans="1:46" s="6" customFormat="1" x14ac:dyDescent="0.25">
      <c r="A1026" s="26" t="s">
        <v>4</v>
      </c>
      <c r="B1026" s="26" t="s">
        <v>97</v>
      </c>
      <c r="C1026" s="306"/>
      <c r="D1026" s="10" t="s">
        <v>4</v>
      </c>
      <c r="E1026" s="25">
        <v>42139</v>
      </c>
      <c r="F1026" s="25" t="s">
        <v>267</v>
      </c>
      <c r="G1026" s="316" t="s">
        <v>797</v>
      </c>
      <c r="H1026" s="316">
        <v>61311230</v>
      </c>
      <c r="I1026" s="316">
        <v>583000</v>
      </c>
      <c r="J1026" s="2" t="s">
        <v>1</v>
      </c>
      <c r="K1026" s="27">
        <v>200000</v>
      </c>
      <c r="L1026" s="4">
        <v>0</v>
      </c>
      <c r="M1026" s="4">
        <v>0</v>
      </c>
      <c r="N1026" s="4">
        <v>39400</v>
      </c>
      <c r="O1026" s="4"/>
      <c r="P1026" s="283">
        <v>20000</v>
      </c>
      <c r="Q1026" s="283">
        <v>20000</v>
      </c>
      <c r="R1026" s="283">
        <v>20000</v>
      </c>
      <c r="S1026" s="283">
        <v>20000</v>
      </c>
      <c r="T1026" s="283">
        <v>20000</v>
      </c>
      <c r="U1026" s="283">
        <v>20000</v>
      </c>
      <c r="V1026" s="283">
        <v>20000</v>
      </c>
      <c r="W1026" s="283">
        <v>20000</v>
      </c>
      <c r="X1026" s="283">
        <v>20000</v>
      </c>
      <c r="Y1026" s="283">
        <v>20000</v>
      </c>
      <c r="Z1026" s="490" t="s">
        <v>11</v>
      </c>
      <c r="AA1026" s="60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</row>
    <row r="1027" spans="1:46" s="6" customFormat="1" x14ac:dyDescent="0.25">
      <c r="A1027" s="400" t="s">
        <v>1021</v>
      </c>
      <c r="B1027" s="26"/>
      <c r="C1027" s="306"/>
      <c r="D1027" s="84"/>
      <c r="E1027" s="317" t="s">
        <v>13</v>
      </c>
      <c r="F1027" s="25"/>
      <c r="G1027" s="12" t="s">
        <v>798</v>
      </c>
      <c r="H1027" s="12"/>
      <c r="I1027" s="354"/>
      <c r="J1027" s="17" t="s">
        <v>2</v>
      </c>
      <c r="K1027" s="28">
        <v>25500</v>
      </c>
      <c r="L1027" s="11">
        <v>0</v>
      </c>
      <c r="M1027" s="11">
        <v>0</v>
      </c>
      <c r="N1027" s="11">
        <f>6557+6557</f>
        <v>13114</v>
      </c>
      <c r="O1027" s="11"/>
      <c r="P1027" s="142">
        <f>2225+2225</f>
        <v>4450</v>
      </c>
      <c r="Q1027" s="142">
        <f>2025+2025</f>
        <v>4050</v>
      </c>
      <c r="R1027" s="142">
        <f>1825+1825</f>
        <v>3650</v>
      </c>
      <c r="S1027" s="142">
        <f>1625+1625</f>
        <v>3250</v>
      </c>
      <c r="T1027" s="142">
        <f>1425+1425</f>
        <v>2850</v>
      </c>
      <c r="U1027" s="142">
        <f>1225+1225</f>
        <v>2450</v>
      </c>
      <c r="V1027" s="142">
        <f>1025+1025</f>
        <v>2050</v>
      </c>
      <c r="W1027" s="142">
        <f>725+725</f>
        <v>1450</v>
      </c>
      <c r="X1027" s="142">
        <f>425+425</f>
        <v>850</v>
      </c>
      <c r="Y1027" s="142">
        <f>225+225</f>
        <v>450</v>
      </c>
      <c r="Z1027" s="491" t="s">
        <v>11</v>
      </c>
      <c r="AA1027" s="532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</row>
    <row r="1028" spans="1:46" s="6" customFormat="1" ht="13.8" thickBot="1" x14ac:dyDescent="0.3">
      <c r="A1028" s="409" t="s">
        <v>1119</v>
      </c>
      <c r="B1028" s="120"/>
      <c r="C1028" s="307"/>
      <c r="D1028" s="89"/>
      <c r="E1028" s="90" t="s">
        <v>16</v>
      </c>
      <c r="F1028" s="90" t="s">
        <v>407</v>
      </c>
      <c r="G1028" s="355"/>
      <c r="H1028" s="124"/>
      <c r="I1028" s="124"/>
      <c r="J1028" s="41" t="s">
        <v>6</v>
      </c>
      <c r="K1028" s="42">
        <f>K1027+K1026</f>
        <v>225500</v>
      </c>
      <c r="L1028" s="43">
        <f>L1027+L1026</f>
        <v>0</v>
      </c>
      <c r="M1028" s="43">
        <f t="shared" ref="M1028:N1028" si="787">M1027+M1026</f>
        <v>0</v>
      </c>
      <c r="N1028" s="43">
        <f t="shared" si="787"/>
        <v>52514</v>
      </c>
      <c r="O1028" s="43"/>
      <c r="P1028" s="43">
        <f t="shared" ref="P1028:Y1028" si="788">P1027+P1026</f>
        <v>24450</v>
      </c>
      <c r="Q1028" s="43">
        <f t="shared" si="788"/>
        <v>24050</v>
      </c>
      <c r="R1028" s="43">
        <f t="shared" si="788"/>
        <v>23650</v>
      </c>
      <c r="S1028" s="43">
        <f t="shared" si="788"/>
        <v>23250</v>
      </c>
      <c r="T1028" s="43">
        <f t="shared" si="788"/>
        <v>22850</v>
      </c>
      <c r="U1028" s="43">
        <f t="shared" si="788"/>
        <v>22450</v>
      </c>
      <c r="V1028" s="43">
        <f t="shared" si="788"/>
        <v>22050</v>
      </c>
      <c r="W1028" s="43">
        <f t="shared" si="788"/>
        <v>21450</v>
      </c>
      <c r="X1028" s="43">
        <f t="shared" si="788"/>
        <v>20850</v>
      </c>
      <c r="Y1028" s="43">
        <f t="shared" si="788"/>
        <v>20450</v>
      </c>
      <c r="Z1028" s="492" t="s">
        <v>11</v>
      </c>
      <c r="AA1028" s="533"/>
      <c r="AB1028" s="41"/>
      <c r="AC1028" s="41"/>
      <c r="AD1028" s="41"/>
      <c r="AE1028" s="41"/>
      <c r="AF1028" s="41"/>
      <c r="AG1028" s="41"/>
      <c r="AH1028" s="41"/>
      <c r="AI1028" s="41"/>
      <c r="AJ1028" s="41"/>
      <c r="AK1028" s="41"/>
      <c r="AL1028" s="41"/>
      <c r="AM1028" s="41"/>
      <c r="AN1028" s="41"/>
      <c r="AO1028" s="41"/>
      <c r="AP1028" s="41"/>
      <c r="AQ1028" s="41"/>
      <c r="AR1028" s="41"/>
      <c r="AS1028" s="41"/>
      <c r="AT1028" s="41"/>
    </row>
    <row r="1029" spans="1:46" s="8" customFormat="1" x14ac:dyDescent="0.25">
      <c r="A1029" s="121"/>
      <c r="B1029" s="121"/>
      <c r="C1029" s="306"/>
      <c r="D1029" s="55"/>
      <c r="E1029" s="55"/>
      <c r="F1029" s="55"/>
      <c r="G1029" s="9" t="s">
        <v>7</v>
      </c>
      <c r="H1029" s="9">
        <v>61774019</v>
      </c>
      <c r="I1029" s="9">
        <v>591100</v>
      </c>
      <c r="J1029" s="10" t="s">
        <v>1</v>
      </c>
      <c r="K1029" s="31">
        <f>K1026+K1023+K1020</f>
        <v>1200000</v>
      </c>
      <c r="L1029" s="7">
        <v>0</v>
      </c>
      <c r="M1029" s="7">
        <v>0</v>
      </c>
      <c r="N1029" s="67">
        <f>N1026</f>
        <v>39400</v>
      </c>
      <c r="O1029" s="67"/>
      <c r="P1029" s="67">
        <f>P1026+P1023+P1020</f>
        <v>95000</v>
      </c>
      <c r="Q1029" s="67">
        <f>Q1026+Q1023+Q1020</f>
        <v>95000</v>
      </c>
      <c r="R1029" s="67">
        <f t="shared" ref="R1029:Y1029" si="789">R1026+R1023+R1020</f>
        <v>95000</v>
      </c>
      <c r="S1029" s="67">
        <f t="shared" si="789"/>
        <v>95000</v>
      </c>
      <c r="T1029" s="67">
        <f t="shared" si="789"/>
        <v>95000</v>
      </c>
      <c r="U1029" s="67">
        <f t="shared" si="789"/>
        <v>95000</v>
      </c>
      <c r="V1029" s="67">
        <f t="shared" si="789"/>
        <v>95000</v>
      </c>
      <c r="W1029" s="67">
        <f t="shared" si="789"/>
        <v>95000</v>
      </c>
      <c r="X1029" s="67">
        <f t="shared" si="789"/>
        <v>95000</v>
      </c>
      <c r="Y1029" s="67">
        <f t="shared" si="789"/>
        <v>95000</v>
      </c>
      <c r="Z1029" s="507">
        <f>Z1023</f>
        <v>50000</v>
      </c>
      <c r="AA1029" s="546">
        <f t="shared" ref="AA1029:AD1029" si="790">AA1023</f>
        <v>50000</v>
      </c>
      <c r="AB1029" s="67">
        <f t="shared" si="790"/>
        <v>50000</v>
      </c>
      <c r="AC1029" s="67">
        <f t="shared" si="790"/>
        <v>50000</v>
      </c>
      <c r="AD1029" s="67">
        <f t="shared" si="790"/>
        <v>50000</v>
      </c>
      <c r="AE1029" s="3" t="s">
        <v>11</v>
      </c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</row>
    <row r="1030" spans="1:46" s="8" customFormat="1" x14ac:dyDescent="0.25">
      <c r="A1030" s="121"/>
      <c r="B1030" s="121"/>
      <c r="C1030" s="306"/>
      <c r="D1030" s="10"/>
      <c r="E1030" s="10"/>
      <c r="F1030" s="10"/>
      <c r="G1030" s="10"/>
      <c r="H1030" s="9">
        <v>61774019</v>
      </c>
      <c r="I1030" s="10">
        <v>595100</v>
      </c>
      <c r="J1030" s="19" t="s">
        <v>2</v>
      </c>
      <c r="K1030" s="31">
        <f>K1027+K1024+K1021</f>
        <v>208250</v>
      </c>
      <c r="L1030" s="16">
        <v>0</v>
      </c>
      <c r="M1030" s="16">
        <v>0</v>
      </c>
      <c r="N1030" s="16">
        <f>N1027</f>
        <v>13114</v>
      </c>
      <c r="O1030" s="16"/>
      <c r="P1030" s="16">
        <f>P1027+P1024+P1021</f>
        <v>27762.5</v>
      </c>
      <c r="Q1030" s="16">
        <f>Q1027+Q1024+Q1021</f>
        <v>25862.5</v>
      </c>
      <c r="R1030" s="16">
        <f t="shared" ref="R1030:Y1030" si="791">R1027+R1024+R1021</f>
        <v>23962.5</v>
      </c>
      <c r="S1030" s="16">
        <f t="shared" si="791"/>
        <v>22062.5</v>
      </c>
      <c r="T1030" s="16">
        <f t="shared" si="791"/>
        <v>20162.5</v>
      </c>
      <c r="U1030" s="16">
        <f t="shared" si="791"/>
        <v>18262.5</v>
      </c>
      <c r="V1030" s="16">
        <f t="shared" si="791"/>
        <v>16362.5</v>
      </c>
      <c r="W1030" s="16">
        <f t="shared" si="791"/>
        <v>13512.5</v>
      </c>
      <c r="X1030" s="16">
        <f t="shared" si="791"/>
        <v>10662.5</v>
      </c>
      <c r="Y1030" s="16">
        <f t="shared" si="791"/>
        <v>8762.5</v>
      </c>
      <c r="Z1030" s="502">
        <f>Z1024</f>
        <v>6625</v>
      </c>
      <c r="AA1030" s="541">
        <f t="shared" ref="AA1030:AD1030" si="792">AA1024</f>
        <v>5500</v>
      </c>
      <c r="AB1030" s="16">
        <f t="shared" si="792"/>
        <v>4250</v>
      </c>
      <c r="AC1030" s="16">
        <f t="shared" si="792"/>
        <v>3000</v>
      </c>
      <c r="AD1030" s="16">
        <f t="shared" si="792"/>
        <v>1500</v>
      </c>
      <c r="AE1030" s="20" t="s">
        <v>11</v>
      </c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</row>
    <row r="1031" spans="1:46" s="8" customFormat="1" ht="13.8" thickBot="1" x14ac:dyDescent="0.3">
      <c r="A1031" s="122"/>
      <c r="B1031" s="122"/>
      <c r="C1031" s="307"/>
      <c r="D1031" s="91"/>
      <c r="E1031" s="91"/>
      <c r="F1031" s="91"/>
      <c r="G1031" s="91"/>
      <c r="H1031" s="91"/>
      <c r="I1031" s="91"/>
      <c r="J1031" s="52" t="s">
        <v>5</v>
      </c>
      <c r="K1031" s="53">
        <f>K1030+K1029</f>
        <v>1408250</v>
      </c>
      <c r="L1031" s="46">
        <f>L1030+L1029</f>
        <v>0</v>
      </c>
      <c r="M1031" s="46">
        <f t="shared" ref="M1031" si="793">M1030+M1029</f>
        <v>0</v>
      </c>
      <c r="N1031" s="46">
        <f>N1030+N1029</f>
        <v>52514</v>
      </c>
      <c r="O1031" s="46"/>
      <c r="P1031" s="46">
        <f t="shared" ref="P1031" si="794">P1030+P1029</f>
        <v>122762.5</v>
      </c>
      <c r="Q1031" s="46">
        <f t="shared" ref="Q1031:AA1031" si="795">Q1030+Q1029</f>
        <v>120862.5</v>
      </c>
      <c r="R1031" s="46">
        <f t="shared" si="795"/>
        <v>118962.5</v>
      </c>
      <c r="S1031" s="46">
        <f t="shared" si="795"/>
        <v>117062.5</v>
      </c>
      <c r="T1031" s="46">
        <f t="shared" si="795"/>
        <v>115162.5</v>
      </c>
      <c r="U1031" s="46">
        <f t="shared" si="795"/>
        <v>113262.5</v>
      </c>
      <c r="V1031" s="46">
        <f t="shared" si="795"/>
        <v>111362.5</v>
      </c>
      <c r="W1031" s="46">
        <f t="shared" si="795"/>
        <v>108512.5</v>
      </c>
      <c r="X1031" s="46">
        <f t="shared" si="795"/>
        <v>105662.5</v>
      </c>
      <c r="Y1031" s="46">
        <f t="shared" si="795"/>
        <v>103762.5</v>
      </c>
      <c r="Z1031" s="503">
        <f t="shared" si="795"/>
        <v>56625</v>
      </c>
      <c r="AA1031" s="542">
        <f t="shared" si="795"/>
        <v>55500</v>
      </c>
      <c r="AB1031" s="46">
        <f t="shared" ref="AB1031:AD1031" si="796">AB1030+AB1029</f>
        <v>54250</v>
      </c>
      <c r="AC1031" s="46">
        <f t="shared" si="796"/>
        <v>53000</v>
      </c>
      <c r="AD1031" s="46">
        <f t="shared" si="796"/>
        <v>51500</v>
      </c>
      <c r="AE1031" s="47" t="s">
        <v>11</v>
      </c>
      <c r="AF1031" s="47"/>
      <c r="AG1031" s="47"/>
      <c r="AH1031" s="47"/>
      <c r="AI1031" s="47"/>
      <c r="AJ1031" s="47"/>
      <c r="AK1031" s="47"/>
      <c r="AL1031" s="47"/>
      <c r="AM1031" s="47"/>
      <c r="AN1031" s="47"/>
      <c r="AO1031" s="47"/>
      <c r="AP1031" s="47"/>
      <c r="AQ1031" s="47"/>
      <c r="AR1031" s="47"/>
      <c r="AS1031" s="47"/>
      <c r="AT1031" s="47"/>
    </row>
    <row r="1032" spans="1:46" s="3" customFormat="1" x14ac:dyDescent="0.25">
      <c r="A1032" s="121"/>
      <c r="B1032" s="121"/>
      <c r="C1032" s="306"/>
      <c r="D1032" s="102"/>
      <c r="E1032" s="285" t="s">
        <v>807</v>
      </c>
      <c r="F1032" s="102"/>
      <c r="G1032" s="103" t="s">
        <v>806</v>
      </c>
      <c r="H1032" s="103"/>
      <c r="I1032" s="103"/>
      <c r="J1032" s="104" t="s">
        <v>1</v>
      </c>
      <c r="K1032" s="105">
        <f>K1029+K1017+K1008</f>
        <v>6102986</v>
      </c>
      <c r="L1032" s="7">
        <v>0</v>
      </c>
      <c r="M1032" s="7">
        <v>0</v>
      </c>
      <c r="N1032" s="67">
        <f t="shared" ref="N1032" si="797">N1017+N1008</f>
        <v>0</v>
      </c>
      <c r="O1032" s="67"/>
      <c r="P1032" s="67">
        <f>P1029+P1017+P1008</f>
        <v>662986</v>
      </c>
      <c r="Q1032" s="67">
        <f>Q1029+Q1017+Q1008</f>
        <v>625000</v>
      </c>
      <c r="R1032" s="67">
        <f t="shared" ref="R1032:AC1032" si="798">R1029+R1017+R1008</f>
        <v>615000</v>
      </c>
      <c r="S1032" s="67">
        <f t="shared" si="798"/>
        <v>600000</v>
      </c>
      <c r="T1032" s="67">
        <f t="shared" si="798"/>
        <v>590000</v>
      </c>
      <c r="U1032" s="67">
        <f t="shared" si="798"/>
        <v>405000</v>
      </c>
      <c r="V1032" s="67">
        <f t="shared" si="798"/>
        <v>400000</v>
      </c>
      <c r="W1032" s="67">
        <f t="shared" si="798"/>
        <v>390000</v>
      </c>
      <c r="X1032" s="67">
        <f t="shared" si="798"/>
        <v>385000</v>
      </c>
      <c r="Y1032" s="67">
        <f t="shared" si="798"/>
        <v>380000</v>
      </c>
      <c r="Z1032" s="507">
        <f t="shared" si="798"/>
        <v>210000</v>
      </c>
      <c r="AA1032" s="546">
        <f t="shared" si="798"/>
        <v>210000</v>
      </c>
      <c r="AB1032" s="67">
        <f t="shared" si="798"/>
        <v>210000</v>
      </c>
      <c r="AC1032" s="67">
        <f t="shared" si="798"/>
        <v>210000</v>
      </c>
      <c r="AD1032" s="67">
        <f>AD1029+AD1017+AD1008</f>
        <v>210000</v>
      </c>
      <c r="AE1032" s="3" t="s">
        <v>11</v>
      </c>
    </row>
    <row r="1033" spans="1:46" s="3" customFormat="1" ht="13.8" thickBot="1" x14ac:dyDescent="0.3">
      <c r="A1033" s="121"/>
      <c r="B1033" s="121"/>
      <c r="C1033" s="306"/>
      <c r="D1033" s="104"/>
      <c r="E1033" s="285" t="s">
        <v>799</v>
      </c>
      <c r="F1033" s="104"/>
      <c r="G1033" s="103"/>
      <c r="H1033" s="103"/>
      <c r="I1033" s="103"/>
      <c r="J1033" s="106" t="s">
        <v>2</v>
      </c>
      <c r="K1033" s="107">
        <f>K1030+K1018+K1009</f>
        <v>929084.72</v>
      </c>
      <c r="L1033" s="22">
        <v>0</v>
      </c>
      <c r="M1033" s="22">
        <v>0</v>
      </c>
      <c r="N1033" s="22">
        <f t="shared" ref="N1033" si="799">N1018+N1009</f>
        <v>0</v>
      </c>
      <c r="O1033" s="22"/>
      <c r="P1033" s="22">
        <f>P1030+P1018+P1009</f>
        <v>137734.72</v>
      </c>
      <c r="Q1033" s="22">
        <f>Q1030+Q1018+Q1009</f>
        <v>124475</v>
      </c>
      <c r="R1033" s="22">
        <f t="shared" ref="R1033:AD1033" si="800">R1030+R1018+R1009</f>
        <v>111975</v>
      </c>
      <c r="S1033" s="22">
        <f t="shared" si="800"/>
        <v>99675</v>
      </c>
      <c r="T1033" s="22">
        <f t="shared" si="800"/>
        <v>87675</v>
      </c>
      <c r="U1033" s="22">
        <f t="shared" si="800"/>
        <v>75875</v>
      </c>
      <c r="V1033" s="22">
        <f t="shared" si="800"/>
        <v>67775</v>
      </c>
      <c r="W1033" s="22">
        <f t="shared" si="800"/>
        <v>55775</v>
      </c>
      <c r="X1033" s="22">
        <f t="shared" si="800"/>
        <v>44075</v>
      </c>
      <c r="Y1033" s="22">
        <f t="shared" si="800"/>
        <v>36375</v>
      </c>
      <c r="Z1033" s="506">
        <f t="shared" si="800"/>
        <v>27825</v>
      </c>
      <c r="AA1033" s="545">
        <f t="shared" si="800"/>
        <v>23100</v>
      </c>
      <c r="AB1033" s="22">
        <f t="shared" si="800"/>
        <v>17850</v>
      </c>
      <c r="AC1033" s="22">
        <f t="shared" si="800"/>
        <v>12600</v>
      </c>
      <c r="AD1033" s="22">
        <f t="shared" si="800"/>
        <v>6300</v>
      </c>
      <c r="AE1033" s="23" t="s">
        <v>11</v>
      </c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</row>
    <row r="1034" spans="1:46" s="6" customFormat="1" x14ac:dyDescent="0.25">
      <c r="A1034" s="26"/>
      <c r="B1034" s="26"/>
      <c r="C1034" s="306"/>
      <c r="D1034" s="108"/>
      <c r="E1034" s="286" t="s">
        <v>800</v>
      </c>
      <c r="F1034" s="108"/>
      <c r="G1034" s="287" t="s">
        <v>808</v>
      </c>
      <c r="H1034" s="103"/>
      <c r="I1034" s="103"/>
      <c r="J1034" s="109" t="s">
        <v>5</v>
      </c>
      <c r="K1034" s="110">
        <f>K1033+K1032</f>
        <v>7032070.7199999997</v>
      </c>
      <c r="L1034" s="67">
        <f>L1033+L1032</f>
        <v>0</v>
      </c>
      <c r="M1034" s="67">
        <f>M1033+M1032</f>
        <v>0</v>
      </c>
      <c r="N1034" s="282">
        <f>N1033+N1032</f>
        <v>0</v>
      </c>
      <c r="O1034" s="282"/>
      <c r="P1034" s="282">
        <f t="shared" ref="P1034:AC1034" si="801">P1033+P1032</f>
        <v>800720.72</v>
      </c>
      <c r="Q1034" s="282">
        <f t="shared" si="801"/>
        <v>749475</v>
      </c>
      <c r="R1034" s="282">
        <f t="shared" si="801"/>
        <v>726975</v>
      </c>
      <c r="S1034" s="282">
        <f t="shared" si="801"/>
        <v>699675</v>
      </c>
      <c r="T1034" s="282">
        <f t="shared" si="801"/>
        <v>677675</v>
      </c>
      <c r="U1034" s="282">
        <f t="shared" si="801"/>
        <v>480875</v>
      </c>
      <c r="V1034" s="282">
        <f t="shared" si="801"/>
        <v>467775</v>
      </c>
      <c r="W1034" s="282">
        <f t="shared" si="801"/>
        <v>445775</v>
      </c>
      <c r="X1034" s="282">
        <f t="shared" si="801"/>
        <v>429075</v>
      </c>
      <c r="Y1034" s="282">
        <f t="shared" si="801"/>
        <v>416375</v>
      </c>
      <c r="Z1034" s="508">
        <f t="shared" si="801"/>
        <v>237825</v>
      </c>
      <c r="AA1034" s="551">
        <f t="shared" si="801"/>
        <v>233100</v>
      </c>
      <c r="AB1034" s="282">
        <f t="shared" si="801"/>
        <v>227850</v>
      </c>
      <c r="AC1034" s="282">
        <f t="shared" si="801"/>
        <v>222600</v>
      </c>
      <c r="AD1034" s="282">
        <f t="shared" ref="AD1034" si="802">AD1033+AD1032</f>
        <v>216300</v>
      </c>
      <c r="AE1034" s="134" t="s">
        <v>11</v>
      </c>
      <c r="AF1034" s="69"/>
      <c r="AG1034" s="69"/>
      <c r="AH1034" s="69"/>
      <c r="AI1034" s="69"/>
      <c r="AJ1034" s="69"/>
      <c r="AK1034" s="69"/>
      <c r="AL1034" s="69"/>
      <c r="AM1034" s="69"/>
      <c r="AN1034" s="69"/>
      <c r="AO1034" s="69"/>
      <c r="AP1034" s="69"/>
      <c r="AQ1034" s="69"/>
      <c r="AR1034" s="69"/>
      <c r="AS1034" s="69"/>
      <c r="AT1034" s="69"/>
    </row>
    <row r="1035" spans="1:46" s="2" customFormat="1" x14ac:dyDescent="0.25">
      <c r="A1035" s="119"/>
      <c r="B1035" s="119"/>
      <c r="C1035" s="308"/>
      <c r="D1035" s="49"/>
      <c r="E1035" s="49"/>
      <c r="F1035" s="49"/>
      <c r="G1035" s="128" t="s">
        <v>811</v>
      </c>
      <c r="H1035" s="128"/>
      <c r="I1035" s="128"/>
      <c r="J1035" s="48"/>
      <c r="K1035" s="96"/>
      <c r="L1035" s="97"/>
      <c r="M1035" s="97"/>
      <c r="N1035" s="97"/>
      <c r="O1035" s="97"/>
      <c r="P1035" s="98"/>
      <c r="Q1035" s="98"/>
      <c r="R1035" s="98"/>
      <c r="S1035" s="98"/>
      <c r="T1035" s="98"/>
      <c r="U1035" s="48"/>
      <c r="V1035" s="48"/>
      <c r="W1035" s="48"/>
      <c r="X1035" s="48"/>
      <c r="Y1035" s="48"/>
      <c r="Z1035" s="48"/>
      <c r="AA1035" s="48"/>
      <c r="AB1035" s="48"/>
      <c r="AC1035" s="48"/>
      <c r="AD1035" s="48"/>
      <c r="AE1035" s="48"/>
      <c r="AF1035" s="48"/>
      <c r="AG1035" s="48"/>
      <c r="AH1035" s="48"/>
      <c r="AI1035" s="48"/>
      <c r="AJ1035" s="48"/>
      <c r="AK1035" s="48"/>
      <c r="AL1035" s="48"/>
      <c r="AM1035" s="48"/>
      <c r="AN1035" s="48"/>
      <c r="AO1035" s="48"/>
      <c r="AP1035" s="48"/>
      <c r="AQ1035" s="48"/>
      <c r="AR1035" s="48"/>
      <c r="AS1035" s="48"/>
      <c r="AT1035" s="48"/>
    </row>
    <row r="1036" spans="1:46" s="2" customFormat="1" x14ac:dyDescent="0.25">
      <c r="A1036" s="26" t="s">
        <v>99</v>
      </c>
      <c r="B1036" s="26" t="s">
        <v>96</v>
      </c>
      <c r="C1036" s="306"/>
      <c r="D1036" s="54" t="s">
        <v>3</v>
      </c>
      <c r="E1036" s="284">
        <v>42509</v>
      </c>
      <c r="F1036" s="34" t="s">
        <v>341</v>
      </c>
      <c r="G1036" s="313" t="s">
        <v>815</v>
      </c>
      <c r="H1036" s="313">
        <v>31171267</v>
      </c>
      <c r="I1036" s="313">
        <v>584003</v>
      </c>
      <c r="J1036" s="2" t="s">
        <v>1</v>
      </c>
      <c r="K1036" s="27">
        <v>93000</v>
      </c>
      <c r="L1036" s="5"/>
      <c r="M1036" s="4"/>
      <c r="N1036" s="4"/>
      <c r="O1036" s="4"/>
      <c r="P1036" s="283"/>
      <c r="Q1036" s="283">
        <v>13000</v>
      </c>
      <c r="R1036" s="283">
        <v>10000</v>
      </c>
      <c r="S1036" s="283">
        <v>10000</v>
      </c>
      <c r="T1036" s="283">
        <v>10000</v>
      </c>
      <c r="U1036" s="283">
        <v>10000</v>
      </c>
      <c r="V1036" s="283">
        <v>10000</v>
      </c>
      <c r="W1036" s="283">
        <v>10000</v>
      </c>
      <c r="X1036" s="283">
        <v>10000</v>
      </c>
      <c r="Y1036" s="283">
        <v>10000</v>
      </c>
      <c r="Z1036" s="490" t="s">
        <v>11</v>
      </c>
      <c r="AA1036" s="60"/>
    </row>
    <row r="1037" spans="1:46" s="2" customFormat="1" x14ac:dyDescent="0.25">
      <c r="A1037" s="400" t="s">
        <v>1022</v>
      </c>
      <c r="B1037" s="26"/>
      <c r="C1037" s="306"/>
      <c r="D1037" s="54"/>
      <c r="E1037" s="34" t="s">
        <v>12</v>
      </c>
      <c r="F1037" s="34"/>
      <c r="G1037" s="35" t="s">
        <v>816</v>
      </c>
      <c r="H1037" s="35"/>
      <c r="I1037" s="35"/>
      <c r="J1037" s="17" t="s">
        <v>2</v>
      </c>
      <c r="K1037" s="347">
        <v>18819.330000000002</v>
      </c>
      <c r="L1037" s="21"/>
      <c r="M1037" s="11"/>
      <c r="N1037" s="11"/>
      <c r="O1037" s="11"/>
      <c r="P1037" s="142"/>
      <c r="Q1037" s="142">
        <f>1789.33+1830</f>
        <v>3619.33</v>
      </c>
      <c r="R1037" s="142">
        <f>1700+1700</f>
        <v>3400</v>
      </c>
      <c r="S1037" s="142">
        <f>1550+1550</f>
        <v>3100</v>
      </c>
      <c r="T1037" s="142">
        <f>1350+1350</f>
        <v>2700</v>
      </c>
      <c r="U1037" s="142">
        <f>1100+1100</f>
        <v>2200</v>
      </c>
      <c r="V1037" s="142">
        <f>850+850</f>
        <v>1700</v>
      </c>
      <c r="W1037" s="142">
        <f>600+600</f>
        <v>1200</v>
      </c>
      <c r="X1037" s="142">
        <f>350+350</f>
        <v>700</v>
      </c>
      <c r="Y1037" s="142">
        <f>100+100</f>
        <v>200</v>
      </c>
      <c r="Z1037" s="491" t="s">
        <v>11</v>
      </c>
      <c r="AA1037" s="532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</row>
    <row r="1038" spans="1:46" s="6" customFormat="1" ht="13.8" thickBot="1" x14ac:dyDescent="0.3">
      <c r="A1038" s="409" t="s">
        <v>1115</v>
      </c>
      <c r="B1038" s="120"/>
      <c r="C1038" s="307"/>
      <c r="D1038" s="85"/>
      <c r="E1038" s="86" t="s">
        <v>15</v>
      </c>
      <c r="F1038" s="86" t="s">
        <v>412</v>
      </c>
      <c r="G1038" s="125" t="s">
        <v>817</v>
      </c>
      <c r="H1038" s="125"/>
      <c r="I1038" s="125"/>
      <c r="J1038" s="365" t="s">
        <v>6</v>
      </c>
      <c r="K1038" s="350">
        <f>K1037+K1036</f>
        <v>111819.33</v>
      </c>
      <c r="L1038" s="43"/>
      <c r="M1038" s="43"/>
      <c r="N1038" s="43"/>
      <c r="O1038" s="43"/>
      <c r="P1038" s="43"/>
      <c r="Q1038" s="43">
        <f t="shared" ref="Q1038:X1038" si="803">Q1037+Q1036</f>
        <v>16619.330000000002</v>
      </c>
      <c r="R1038" s="43">
        <f t="shared" si="803"/>
        <v>13400</v>
      </c>
      <c r="S1038" s="43">
        <f t="shared" si="803"/>
        <v>13100</v>
      </c>
      <c r="T1038" s="43">
        <f t="shared" si="803"/>
        <v>12700</v>
      </c>
      <c r="U1038" s="43">
        <f t="shared" si="803"/>
        <v>12200</v>
      </c>
      <c r="V1038" s="43">
        <f t="shared" si="803"/>
        <v>11700</v>
      </c>
      <c r="W1038" s="43">
        <f t="shared" si="803"/>
        <v>11200</v>
      </c>
      <c r="X1038" s="43">
        <f t="shared" si="803"/>
        <v>10700</v>
      </c>
      <c r="Y1038" s="43">
        <f t="shared" ref="Y1038" si="804">Y1037+Y1036</f>
        <v>10200</v>
      </c>
      <c r="Z1038" s="492" t="s">
        <v>11</v>
      </c>
      <c r="AA1038" s="533"/>
      <c r="AB1038" s="41"/>
      <c r="AC1038" s="41"/>
      <c r="AD1038" s="41"/>
      <c r="AE1038" s="41"/>
      <c r="AF1038" s="41"/>
      <c r="AG1038" s="41"/>
      <c r="AH1038" s="41"/>
      <c r="AI1038" s="41"/>
      <c r="AJ1038" s="41"/>
      <c r="AK1038" s="41"/>
      <c r="AL1038" s="41"/>
      <c r="AM1038" s="41"/>
      <c r="AN1038" s="41"/>
      <c r="AO1038" s="41"/>
      <c r="AP1038" s="41"/>
      <c r="AQ1038" s="41"/>
      <c r="AR1038" s="41"/>
      <c r="AS1038" s="41"/>
      <c r="AT1038" s="41"/>
    </row>
    <row r="1039" spans="1:46" s="2" customFormat="1" x14ac:dyDescent="0.25">
      <c r="A1039" s="26" t="s">
        <v>102</v>
      </c>
      <c r="B1039" s="26" t="s">
        <v>96</v>
      </c>
      <c r="C1039" s="306"/>
      <c r="D1039" s="54" t="s">
        <v>3</v>
      </c>
      <c r="E1039" s="284">
        <v>42509</v>
      </c>
      <c r="F1039" s="369" t="s">
        <v>258</v>
      </c>
      <c r="G1039" s="35" t="s">
        <v>818</v>
      </c>
      <c r="H1039" s="35">
        <v>31220267</v>
      </c>
      <c r="I1039" s="35">
        <v>543011</v>
      </c>
      <c r="J1039" s="2" t="s">
        <v>1</v>
      </c>
      <c r="K1039" s="27">
        <v>25000</v>
      </c>
      <c r="L1039" s="4"/>
      <c r="M1039" s="4"/>
      <c r="N1039" s="4"/>
      <c r="O1039" s="4"/>
      <c r="P1039" s="283"/>
      <c r="Q1039" s="283">
        <v>5000</v>
      </c>
      <c r="R1039" s="283">
        <v>5000</v>
      </c>
      <c r="S1039" s="283">
        <v>5000</v>
      </c>
      <c r="T1039" s="283">
        <v>5000</v>
      </c>
      <c r="U1039" s="283">
        <v>5000</v>
      </c>
      <c r="V1039" s="2" t="s">
        <v>11</v>
      </c>
      <c r="Z1039" s="490"/>
      <c r="AA1039" s="60"/>
    </row>
    <row r="1040" spans="1:46" s="2" customFormat="1" x14ac:dyDescent="0.25">
      <c r="A1040" s="400" t="s">
        <v>1023</v>
      </c>
      <c r="B1040" s="26"/>
      <c r="C1040" s="306"/>
      <c r="D1040" s="54"/>
      <c r="E1040" s="284" t="s">
        <v>12</v>
      </c>
      <c r="F1040" s="35"/>
      <c r="G1040" s="35" t="s">
        <v>819</v>
      </c>
      <c r="H1040" s="35"/>
      <c r="I1040" s="35"/>
      <c r="J1040" s="17" t="s">
        <v>2</v>
      </c>
      <c r="K1040" s="347">
        <v>3239.44</v>
      </c>
      <c r="L1040" s="11"/>
      <c r="M1040" s="11"/>
      <c r="N1040" s="11"/>
      <c r="O1040" s="11"/>
      <c r="P1040" s="142"/>
      <c r="Q1040" s="142">
        <f>464.44+475</f>
        <v>939.44</v>
      </c>
      <c r="R1040" s="142">
        <f>425+425</f>
        <v>850</v>
      </c>
      <c r="S1040" s="142">
        <f>350+350</f>
        <v>700</v>
      </c>
      <c r="T1040" s="142">
        <f>250+250</f>
        <v>500</v>
      </c>
      <c r="U1040" s="142">
        <f>125+125</f>
        <v>250</v>
      </c>
      <c r="V1040" s="17" t="s">
        <v>11</v>
      </c>
      <c r="W1040" s="17"/>
      <c r="X1040" s="17"/>
      <c r="Y1040" s="17"/>
      <c r="Z1040" s="491"/>
      <c r="AA1040" s="532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</row>
    <row r="1041" spans="1:46" s="6" customFormat="1" ht="13.8" thickBot="1" x14ac:dyDescent="0.3">
      <c r="A1041" s="120"/>
      <c r="B1041" s="120"/>
      <c r="C1041" s="307"/>
      <c r="D1041" s="85"/>
      <c r="E1041" s="145" t="s">
        <v>160</v>
      </c>
      <c r="F1041" s="439" t="s">
        <v>410</v>
      </c>
      <c r="G1041" s="125"/>
      <c r="H1041" s="125"/>
      <c r="I1041" s="125"/>
      <c r="J1041" s="365" t="s">
        <v>6</v>
      </c>
      <c r="K1041" s="350">
        <f>K1040+K1039</f>
        <v>28239.439999999999</v>
      </c>
      <c r="L1041" s="43"/>
      <c r="M1041" s="43"/>
      <c r="N1041" s="43"/>
      <c r="O1041" s="43"/>
      <c r="P1041" s="43"/>
      <c r="Q1041" s="43">
        <f t="shared" ref="Q1041:T1041" si="805">Q1040+Q1039</f>
        <v>5939.4400000000005</v>
      </c>
      <c r="R1041" s="43">
        <f t="shared" si="805"/>
        <v>5850</v>
      </c>
      <c r="S1041" s="43">
        <f t="shared" si="805"/>
        <v>5700</v>
      </c>
      <c r="T1041" s="43">
        <f t="shared" si="805"/>
        <v>5500</v>
      </c>
      <c r="U1041" s="43">
        <f t="shared" ref="U1041" si="806">U1040+U1039</f>
        <v>5250</v>
      </c>
      <c r="V1041" s="41" t="s">
        <v>11</v>
      </c>
      <c r="W1041" s="41"/>
      <c r="X1041" s="41"/>
      <c r="Y1041" s="41"/>
      <c r="Z1041" s="492"/>
      <c r="AA1041" s="533"/>
      <c r="AB1041" s="41"/>
      <c r="AC1041" s="41"/>
      <c r="AD1041" s="41"/>
      <c r="AE1041" s="41"/>
      <c r="AF1041" s="41"/>
      <c r="AG1041" s="41"/>
      <c r="AH1041" s="41"/>
      <c r="AI1041" s="41"/>
      <c r="AJ1041" s="41"/>
      <c r="AK1041" s="41"/>
      <c r="AL1041" s="41"/>
      <c r="AM1041" s="41"/>
      <c r="AN1041" s="41"/>
      <c r="AO1041" s="41"/>
      <c r="AP1041" s="41"/>
      <c r="AQ1041" s="41"/>
      <c r="AR1041" s="41"/>
      <c r="AS1041" s="41"/>
      <c r="AT1041" s="41"/>
    </row>
    <row r="1042" spans="1:46" s="2" customFormat="1" x14ac:dyDescent="0.25">
      <c r="A1042" s="26" t="s">
        <v>102</v>
      </c>
      <c r="B1042" s="26" t="s">
        <v>96</v>
      </c>
      <c r="C1042" s="306"/>
      <c r="D1042" s="54" t="s">
        <v>3</v>
      </c>
      <c r="E1042" s="284">
        <v>42509</v>
      </c>
      <c r="F1042" s="346" t="s">
        <v>258</v>
      </c>
      <c r="G1042" s="35" t="s">
        <v>787</v>
      </c>
      <c r="H1042" s="35">
        <v>31220267</v>
      </c>
      <c r="I1042" s="35">
        <v>585101</v>
      </c>
      <c r="J1042" s="2" t="s">
        <v>1</v>
      </c>
      <c r="K1042" s="27">
        <v>250000</v>
      </c>
      <c r="L1042" s="5"/>
      <c r="M1042" s="4"/>
      <c r="N1042" s="4"/>
      <c r="O1042" s="4"/>
      <c r="P1042" s="283"/>
      <c r="Q1042" s="283">
        <v>50000</v>
      </c>
      <c r="R1042" s="283">
        <v>50000</v>
      </c>
      <c r="S1042" s="283">
        <v>50000</v>
      </c>
      <c r="T1042" s="283">
        <v>50000</v>
      </c>
      <c r="U1042" s="283">
        <v>50000</v>
      </c>
      <c r="V1042" s="2" t="s">
        <v>11</v>
      </c>
      <c r="Z1042" s="490"/>
      <c r="AA1042" s="60"/>
    </row>
    <row r="1043" spans="1:46" s="2" customFormat="1" x14ac:dyDescent="0.25">
      <c r="A1043" s="400" t="s">
        <v>1024</v>
      </c>
      <c r="B1043" s="26"/>
      <c r="C1043" s="306"/>
      <c r="D1043" s="54"/>
      <c r="E1043" s="34" t="s">
        <v>12</v>
      </c>
      <c r="F1043" s="34"/>
      <c r="G1043" s="35" t="s">
        <v>820</v>
      </c>
      <c r="H1043" s="35"/>
      <c r="I1043" s="35"/>
      <c r="J1043" s="17" t="s">
        <v>2</v>
      </c>
      <c r="K1043" s="347">
        <v>32394.44</v>
      </c>
      <c r="L1043" s="21"/>
      <c r="M1043" s="11"/>
      <c r="N1043" s="11"/>
      <c r="O1043" s="11"/>
      <c r="P1043" s="142"/>
      <c r="Q1043" s="142">
        <f>4644.44+4750</f>
        <v>9394.4399999999987</v>
      </c>
      <c r="R1043" s="142">
        <f>4250+4250</f>
        <v>8500</v>
      </c>
      <c r="S1043" s="142">
        <f>3500+3500</f>
        <v>7000</v>
      </c>
      <c r="T1043" s="142">
        <f>2500+2500</f>
        <v>5000</v>
      </c>
      <c r="U1043" s="142">
        <f>1250+1250</f>
        <v>2500</v>
      </c>
      <c r="V1043" s="17" t="s">
        <v>11</v>
      </c>
      <c r="W1043" s="17"/>
      <c r="X1043" s="17"/>
      <c r="Y1043" s="17"/>
      <c r="Z1043" s="491"/>
      <c r="AA1043" s="532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</row>
    <row r="1044" spans="1:46" s="6" customFormat="1" ht="13.8" thickBot="1" x14ac:dyDescent="0.3">
      <c r="A1044" s="120"/>
      <c r="B1044" s="120"/>
      <c r="C1044" s="307"/>
      <c r="D1044" s="85"/>
      <c r="E1044" s="86" t="s">
        <v>160</v>
      </c>
      <c r="F1044" s="86" t="s">
        <v>410</v>
      </c>
      <c r="G1044" s="125"/>
      <c r="H1044" s="125"/>
      <c r="I1044" s="125"/>
      <c r="J1044" s="365" t="s">
        <v>6</v>
      </c>
      <c r="K1044" s="350">
        <f>K1043+K1042</f>
        <v>282394.44</v>
      </c>
      <c r="L1044" s="43"/>
      <c r="M1044" s="43"/>
      <c r="N1044" s="43"/>
      <c r="O1044" s="43"/>
      <c r="P1044" s="43"/>
      <c r="Q1044" s="43">
        <f t="shared" ref="Q1044:S1044" si="807">Q1043+Q1042</f>
        <v>59394.44</v>
      </c>
      <c r="R1044" s="43">
        <f t="shared" si="807"/>
        <v>58500</v>
      </c>
      <c r="S1044" s="43">
        <f t="shared" si="807"/>
        <v>57000</v>
      </c>
      <c r="T1044" s="43">
        <f>T1043+T1042</f>
        <v>55000</v>
      </c>
      <c r="U1044" s="43">
        <f>U1043+U1042</f>
        <v>52500</v>
      </c>
      <c r="V1044" s="41" t="s">
        <v>11</v>
      </c>
      <c r="W1044" s="41"/>
      <c r="X1044" s="41"/>
      <c r="Y1044" s="41"/>
      <c r="Z1044" s="492"/>
      <c r="AA1044" s="533"/>
      <c r="AB1044" s="41"/>
      <c r="AC1044" s="41"/>
      <c r="AD1044" s="41"/>
      <c r="AE1044" s="41"/>
      <c r="AF1044" s="41"/>
      <c r="AG1044" s="41"/>
      <c r="AH1044" s="41"/>
      <c r="AI1044" s="41"/>
      <c r="AJ1044" s="41"/>
      <c r="AK1044" s="41"/>
      <c r="AL1044" s="41"/>
      <c r="AM1044" s="41"/>
      <c r="AN1044" s="41"/>
      <c r="AO1044" s="41"/>
      <c r="AP1044" s="41"/>
      <c r="AQ1044" s="41"/>
      <c r="AR1044" s="41"/>
      <c r="AS1044" s="41"/>
      <c r="AT1044" s="41"/>
    </row>
    <row r="1045" spans="1:46" s="2" customFormat="1" x14ac:dyDescent="0.25">
      <c r="A1045" s="26" t="s">
        <v>102</v>
      </c>
      <c r="B1045" s="26" t="s">
        <v>96</v>
      </c>
      <c r="C1045" s="306"/>
      <c r="D1045" s="54" t="s">
        <v>3</v>
      </c>
      <c r="E1045" s="284">
        <v>42509</v>
      </c>
      <c r="F1045" s="346" t="s">
        <v>258</v>
      </c>
      <c r="G1045" s="35" t="s">
        <v>681</v>
      </c>
      <c r="H1045" s="35">
        <v>31210267</v>
      </c>
      <c r="I1045" s="35">
        <v>585100</v>
      </c>
      <c r="J1045" s="2" t="s">
        <v>1</v>
      </c>
      <c r="K1045" s="27">
        <v>190756</v>
      </c>
      <c r="L1045" s="4"/>
      <c r="M1045" s="4"/>
      <c r="N1045" s="4"/>
      <c r="O1045" s="4"/>
      <c r="P1045" s="283"/>
      <c r="Q1045" s="283">
        <v>40756</v>
      </c>
      <c r="R1045" s="283">
        <v>40000</v>
      </c>
      <c r="S1045" s="283">
        <v>40000</v>
      </c>
      <c r="T1045" s="283">
        <v>35000</v>
      </c>
      <c r="U1045" s="283">
        <v>35000</v>
      </c>
      <c r="V1045" s="2" t="s">
        <v>11</v>
      </c>
      <c r="Z1045" s="490"/>
      <c r="AA1045" s="60"/>
    </row>
    <row r="1046" spans="1:46" s="2" customFormat="1" x14ac:dyDescent="0.25">
      <c r="A1046" s="400" t="s">
        <v>1025</v>
      </c>
      <c r="B1046" s="26"/>
      <c r="C1046" s="306"/>
      <c r="D1046" s="54"/>
      <c r="E1046" s="34" t="s">
        <v>12</v>
      </c>
      <c r="F1046" s="34"/>
      <c r="G1046" s="35" t="s">
        <v>821</v>
      </c>
      <c r="H1046" s="35"/>
      <c r="I1046" s="35"/>
      <c r="J1046" s="17" t="s">
        <v>2</v>
      </c>
      <c r="K1046" s="347">
        <v>23686.06</v>
      </c>
      <c r="L1046" s="11"/>
      <c r="M1046" s="11"/>
      <c r="N1046" s="11"/>
      <c r="O1046" s="11"/>
      <c r="P1046" s="142"/>
      <c r="Q1046" s="142">
        <f>3478.5+3557.56</f>
        <v>7036.0599999999995</v>
      </c>
      <c r="R1046" s="142">
        <f>3150+3150</f>
        <v>6300</v>
      </c>
      <c r="S1046" s="142">
        <f>2550+2550</f>
        <v>5100</v>
      </c>
      <c r="T1046" s="142">
        <f>1750+1750</f>
        <v>3500</v>
      </c>
      <c r="U1046" s="142">
        <f>875+875</f>
        <v>1750</v>
      </c>
      <c r="V1046" s="17" t="s">
        <v>11</v>
      </c>
      <c r="W1046" s="17"/>
      <c r="X1046" s="17"/>
      <c r="Y1046" s="17"/>
      <c r="Z1046" s="491"/>
      <c r="AA1046" s="532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</row>
    <row r="1047" spans="1:46" s="6" customFormat="1" ht="13.8" thickBot="1" x14ac:dyDescent="0.3">
      <c r="A1047" s="120"/>
      <c r="B1047" s="120"/>
      <c r="C1047" s="307"/>
      <c r="D1047" s="85"/>
      <c r="E1047" s="86" t="s">
        <v>160</v>
      </c>
      <c r="F1047" s="86" t="s">
        <v>410</v>
      </c>
      <c r="G1047" s="125"/>
      <c r="H1047" s="125"/>
      <c r="I1047" s="125"/>
      <c r="J1047" s="365" t="s">
        <v>6</v>
      </c>
      <c r="K1047" s="350">
        <f>K1046+K1045</f>
        <v>214442.06</v>
      </c>
      <c r="L1047" s="43"/>
      <c r="M1047" s="43"/>
      <c r="N1047" s="43"/>
      <c r="O1047" s="43"/>
      <c r="P1047" s="43"/>
      <c r="Q1047" s="43">
        <f t="shared" ref="Q1047:T1047" si="808">Q1046+Q1045</f>
        <v>47792.06</v>
      </c>
      <c r="R1047" s="43">
        <f t="shared" si="808"/>
        <v>46300</v>
      </c>
      <c r="S1047" s="43">
        <f t="shared" si="808"/>
        <v>45100</v>
      </c>
      <c r="T1047" s="43">
        <f t="shared" si="808"/>
        <v>38500</v>
      </c>
      <c r="U1047" s="43">
        <f t="shared" ref="U1047" si="809">U1046+U1045</f>
        <v>36750</v>
      </c>
      <c r="V1047" s="41" t="s">
        <v>11</v>
      </c>
      <c r="W1047" s="41"/>
      <c r="X1047" s="41"/>
      <c r="Y1047" s="41"/>
      <c r="Z1047" s="492"/>
      <c r="AA1047" s="533"/>
      <c r="AB1047" s="41"/>
      <c r="AC1047" s="41"/>
      <c r="AD1047" s="41"/>
      <c r="AE1047" s="41"/>
      <c r="AF1047" s="41"/>
      <c r="AG1047" s="41"/>
      <c r="AH1047" s="41"/>
      <c r="AI1047" s="41"/>
      <c r="AJ1047" s="41"/>
      <c r="AK1047" s="41"/>
      <c r="AL1047" s="41"/>
      <c r="AM1047" s="41"/>
      <c r="AN1047" s="41"/>
      <c r="AO1047" s="41"/>
      <c r="AP1047" s="41"/>
      <c r="AQ1047" s="41"/>
      <c r="AR1047" s="41"/>
      <c r="AS1047" s="41"/>
      <c r="AT1047" s="41"/>
    </row>
    <row r="1048" spans="1:46" s="2" customFormat="1" x14ac:dyDescent="0.25">
      <c r="A1048" s="26" t="s">
        <v>98</v>
      </c>
      <c r="B1048" s="26" t="s">
        <v>96</v>
      </c>
      <c r="C1048" s="306"/>
      <c r="D1048" s="54" t="s">
        <v>3</v>
      </c>
      <c r="E1048" s="34">
        <v>42509</v>
      </c>
      <c r="F1048" s="34" t="s">
        <v>258</v>
      </c>
      <c r="G1048" s="35" t="s">
        <v>822</v>
      </c>
      <c r="H1048" s="35">
        <v>31300267</v>
      </c>
      <c r="I1048" s="35">
        <v>587007</v>
      </c>
      <c r="J1048" s="2" t="s">
        <v>1</v>
      </c>
      <c r="K1048" s="27">
        <v>39000</v>
      </c>
      <c r="L1048" s="4"/>
      <c r="M1048" s="4"/>
      <c r="N1048" s="4"/>
      <c r="O1048" s="4"/>
      <c r="P1048" s="283"/>
      <c r="Q1048" s="283">
        <v>14000</v>
      </c>
      <c r="R1048" s="283">
        <v>10000</v>
      </c>
      <c r="S1048" s="283">
        <v>10000</v>
      </c>
      <c r="T1048" s="283">
        <v>5000</v>
      </c>
      <c r="U1048" s="2" t="s">
        <v>11</v>
      </c>
      <c r="Z1048" s="490"/>
      <c r="AA1048" s="60"/>
    </row>
    <row r="1049" spans="1:46" s="2" customFormat="1" x14ac:dyDescent="0.25">
      <c r="A1049" s="400" t="s">
        <v>1026</v>
      </c>
      <c r="B1049" s="26"/>
      <c r="C1049" s="306"/>
      <c r="D1049" s="54"/>
      <c r="E1049" s="34" t="s">
        <v>12</v>
      </c>
      <c r="F1049" s="34"/>
      <c r="G1049" s="35" t="s">
        <v>823</v>
      </c>
      <c r="H1049" s="35"/>
      <c r="I1049" s="361"/>
      <c r="J1049" s="17" t="s">
        <v>2</v>
      </c>
      <c r="K1049" s="347">
        <v>3066.33</v>
      </c>
      <c r="L1049" s="11"/>
      <c r="M1049" s="11"/>
      <c r="N1049" s="11"/>
      <c r="O1049" s="11"/>
      <c r="P1049" s="142"/>
      <c r="Q1049" s="142">
        <f>601.33+615</f>
        <v>1216.33</v>
      </c>
      <c r="R1049" s="142">
        <f>475+475</f>
        <v>950</v>
      </c>
      <c r="S1049" s="142">
        <f>325+325</f>
        <v>650</v>
      </c>
      <c r="T1049" s="142">
        <f>125+125</f>
        <v>250</v>
      </c>
      <c r="U1049" s="17" t="s">
        <v>11</v>
      </c>
      <c r="V1049" s="17"/>
      <c r="W1049" s="17"/>
      <c r="X1049" s="17"/>
      <c r="Y1049" s="17"/>
      <c r="Z1049" s="491"/>
      <c r="AA1049" s="532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</row>
    <row r="1050" spans="1:46" s="6" customFormat="1" ht="13.8" thickBot="1" x14ac:dyDescent="0.3">
      <c r="A1050" s="120"/>
      <c r="B1050" s="120"/>
      <c r="C1050" s="307"/>
      <c r="D1050" s="85"/>
      <c r="E1050" s="86" t="s">
        <v>17</v>
      </c>
      <c r="F1050" s="86" t="s">
        <v>410</v>
      </c>
      <c r="G1050" s="125"/>
      <c r="H1050" s="125"/>
      <c r="I1050" s="125"/>
      <c r="J1050" s="365" t="s">
        <v>6</v>
      </c>
      <c r="K1050" s="350">
        <f>K1049+K1048</f>
        <v>42066.33</v>
      </c>
      <c r="L1050" s="43"/>
      <c r="M1050" s="43"/>
      <c r="N1050" s="43"/>
      <c r="O1050" s="43"/>
      <c r="P1050" s="43"/>
      <c r="Q1050" s="43">
        <f t="shared" ref="Q1050:T1050" si="810">Q1049+Q1048</f>
        <v>15216.33</v>
      </c>
      <c r="R1050" s="43">
        <f t="shared" si="810"/>
        <v>10950</v>
      </c>
      <c r="S1050" s="43">
        <f t="shared" si="810"/>
        <v>10650</v>
      </c>
      <c r="T1050" s="43">
        <f t="shared" si="810"/>
        <v>5250</v>
      </c>
      <c r="U1050" s="41" t="s">
        <v>11</v>
      </c>
      <c r="V1050" s="41"/>
      <c r="W1050" s="41"/>
      <c r="X1050" s="41"/>
      <c r="Y1050" s="41"/>
      <c r="Z1050" s="492"/>
      <c r="AA1050" s="533"/>
      <c r="AB1050" s="41"/>
      <c r="AC1050" s="41"/>
      <c r="AD1050" s="41"/>
      <c r="AE1050" s="41"/>
      <c r="AF1050" s="41"/>
      <c r="AG1050" s="41"/>
      <c r="AH1050" s="41"/>
      <c r="AI1050" s="41"/>
      <c r="AJ1050" s="41"/>
      <c r="AK1050" s="41"/>
      <c r="AL1050" s="41"/>
      <c r="AM1050" s="41"/>
      <c r="AN1050" s="41"/>
      <c r="AO1050" s="41"/>
      <c r="AP1050" s="41"/>
      <c r="AQ1050" s="41"/>
      <c r="AR1050" s="41"/>
      <c r="AS1050" s="41"/>
      <c r="AT1050" s="41"/>
    </row>
    <row r="1051" spans="1:46" s="2" customFormat="1" x14ac:dyDescent="0.25">
      <c r="A1051" s="26" t="s">
        <v>99</v>
      </c>
      <c r="B1051" s="26" t="s">
        <v>96</v>
      </c>
      <c r="C1051" s="306"/>
      <c r="D1051" s="54" t="s">
        <v>3</v>
      </c>
      <c r="E1051" s="34">
        <v>42509</v>
      </c>
      <c r="F1051" s="34" t="s">
        <v>825</v>
      </c>
      <c r="G1051" s="313" t="s">
        <v>457</v>
      </c>
      <c r="H1051" s="313">
        <v>31422267</v>
      </c>
      <c r="I1051" s="313">
        <v>586200</v>
      </c>
      <c r="J1051" s="2" t="s">
        <v>1</v>
      </c>
      <c r="K1051" s="27">
        <v>500000</v>
      </c>
      <c r="L1051" s="4"/>
      <c r="M1051" s="4"/>
      <c r="N1051" s="4"/>
      <c r="O1051" s="4"/>
      <c r="P1051" s="283"/>
      <c r="Q1051" s="283">
        <v>35000</v>
      </c>
      <c r="R1051" s="283">
        <v>35000</v>
      </c>
      <c r="S1051" s="283">
        <v>35000</v>
      </c>
      <c r="T1051" s="283">
        <v>35000</v>
      </c>
      <c r="U1051" s="283">
        <v>35000</v>
      </c>
      <c r="V1051" s="283">
        <v>35000</v>
      </c>
      <c r="W1051" s="283">
        <v>35000</v>
      </c>
      <c r="X1051" s="283">
        <v>35000</v>
      </c>
      <c r="Y1051" s="283">
        <v>35000</v>
      </c>
      <c r="Z1051" s="497">
        <v>35000</v>
      </c>
      <c r="AA1051" s="536">
        <v>30000</v>
      </c>
      <c r="AB1051" s="5">
        <v>30000</v>
      </c>
      <c r="AC1051" s="5">
        <v>30000</v>
      </c>
      <c r="AD1051" s="5">
        <v>30000</v>
      </c>
      <c r="AE1051" s="5">
        <v>30000</v>
      </c>
      <c r="AF1051" s="2" t="s">
        <v>11</v>
      </c>
    </row>
    <row r="1052" spans="1:46" s="2" customFormat="1" x14ac:dyDescent="0.25">
      <c r="A1052" s="400" t="s">
        <v>1027</v>
      </c>
      <c r="B1052" s="26"/>
      <c r="C1052" s="306"/>
      <c r="D1052" s="54"/>
      <c r="E1052" s="34" t="s">
        <v>12</v>
      </c>
      <c r="F1052" s="34"/>
      <c r="G1052" s="35" t="s">
        <v>824</v>
      </c>
      <c r="H1052" s="35"/>
      <c r="I1052" s="361"/>
      <c r="J1052" s="17" t="s">
        <v>2</v>
      </c>
      <c r="K1052" s="347">
        <v>115890.56</v>
      </c>
      <c r="L1052" s="11"/>
      <c r="M1052" s="11"/>
      <c r="N1052" s="11"/>
      <c r="O1052" s="11"/>
      <c r="P1052" s="142"/>
      <c r="Q1052" s="142">
        <f>8115.56+8300</f>
        <v>16415.560000000001</v>
      </c>
      <c r="R1052" s="142">
        <f>7950+7950</f>
        <v>15900</v>
      </c>
      <c r="S1052" s="142">
        <f>7425+7425</f>
        <v>14850</v>
      </c>
      <c r="T1052" s="142">
        <f>6725+6725</f>
        <v>13450</v>
      </c>
      <c r="U1052" s="142">
        <f>5850+5850</f>
        <v>11700</v>
      </c>
      <c r="V1052" s="142">
        <f>4975+4975</f>
        <v>9950</v>
      </c>
      <c r="W1052" s="142">
        <f>4100+4100</f>
        <v>8200</v>
      </c>
      <c r="X1052" s="142">
        <f>3225+3225</f>
        <v>6450</v>
      </c>
      <c r="Y1052" s="142">
        <f>2350+2350</f>
        <v>4700</v>
      </c>
      <c r="Z1052" s="500">
        <f>2000+2000</f>
        <v>4000</v>
      </c>
      <c r="AA1052" s="539">
        <f>1650+1650</f>
        <v>3300</v>
      </c>
      <c r="AB1052" s="21">
        <f>1350+1350</f>
        <v>2700</v>
      </c>
      <c r="AC1052" s="21">
        <f>1050+1050</f>
        <v>2100</v>
      </c>
      <c r="AD1052" s="21">
        <f>712.5+712.5</f>
        <v>1425</v>
      </c>
      <c r="AE1052" s="21">
        <f>375+375</f>
        <v>750</v>
      </c>
      <c r="AF1052" s="17" t="s">
        <v>11</v>
      </c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</row>
    <row r="1053" spans="1:46" s="6" customFormat="1" ht="13.8" thickBot="1" x14ac:dyDescent="0.3">
      <c r="A1053" s="409" t="s">
        <v>1115</v>
      </c>
      <c r="B1053" s="120"/>
      <c r="C1053" s="307"/>
      <c r="D1053" s="85"/>
      <c r="E1053" s="86" t="s">
        <v>15</v>
      </c>
      <c r="F1053" s="86" t="s">
        <v>405</v>
      </c>
      <c r="G1053" s="125"/>
      <c r="H1053" s="125"/>
      <c r="I1053" s="125"/>
      <c r="J1053" s="365" t="s">
        <v>6</v>
      </c>
      <c r="K1053" s="350">
        <f>K1052+K1051</f>
        <v>615890.56000000006</v>
      </c>
      <c r="L1053" s="43"/>
      <c r="M1053" s="43"/>
      <c r="N1053" s="43"/>
      <c r="O1053" s="43"/>
      <c r="P1053" s="43"/>
      <c r="Q1053" s="43">
        <f t="shared" ref="Q1053:AD1053" si="811">Q1052+Q1051</f>
        <v>51415.56</v>
      </c>
      <c r="R1053" s="43">
        <f t="shared" si="811"/>
        <v>50900</v>
      </c>
      <c r="S1053" s="43">
        <f t="shared" si="811"/>
        <v>49850</v>
      </c>
      <c r="T1053" s="43">
        <f t="shared" si="811"/>
        <v>48450</v>
      </c>
      <c r="U1053" s="43">
        <f t="shared" si="811"/>
        <v>46700</v>
      </c>
      <c r="V1053" s="43">
        <f t="shared" si="811"/>
        <v>44950</v>
      </c>
      <c r="W1053" s="43">
        <f t="shared" si="811"/>
        <v>43200</v>
      </c>
      <c r="X1053" s="43">
        <f t="shared" si="811"/>
        <v>41450</v>
      </c>
      <c r="Y1053" s="43">
        <f t="shared" si="811"/>
        <v>39700</v>
      </c>
      <c r="Z1053" s="499">
        <f t="shared" si="811"/>
        <v>39000</v>
      </c>
      <c r="AA1053" s="538">
        <f t="shared" si="811"/>
        <v>33300</v>
      </c>
      <c r="AB1053" s="43">
        <f t="shared" si="811"/>
        <v>32700</v>
      </c>
      <c r="AC1053" s="43">
        <f t="shared" si="811"/>
        <v>32100</v>
      </c>
      <c r="AD1053" s="43">
        <f t="shared" si="811"/>
        <v>31425</v>
      </c>
      <c r="AE1053" s="43">
        <f t="shared" ref="AE1053" si="812">AE1052+AE1051</f>
        <v>30750</v>
      </c>
      <c r="AF1053" s="41" t="s">
        <v>11</v>
      </c>
      <c r="AG1053" s="41"/>
      <c r="AH1053" s="41"/>
      <c r="AI1053" s="41"/>
      <c r="AJ1053" s="41"/>
      <c r="AK1053" s="41"/>
      <c r="AL1053" s="41"/>
      <c r="AM1053" s="41"/>
      <c r="AN1053" s="41"/>
      <c r="AO1053" s="41"/>
      <c r="AP1053" s="41"/>
      <c r="AQ1053" s="41"/>
      <c r="AR1053" s="41"/>
      <c r="AS1053" s="41"/>
      <c r="AT1053" s="41"/>
    </row>
    <row r="1054" spans="1:46" s="2" customFormat="1" x14ac:dyDescent="0.25">
      <c r="A1054" s="26" t="s">
        <v>99</v>
      </c>
      <c r="B1054" s="26" t="s">
        <v>96</v>
      </c>
      <c r="C1054" s="306"/>
      <c r="D1054" s="54" t="s">
        <v>3</v>
      </c>
      <c r="E1054" s="284">
        <v>42509</v>
      </c>
      <c r="F1054" s="369" t="s">
        <v>281</v>
      </c>
      <c r="G1054" s="313" t="s">
        <v>826</v>
      </c>
      <c r="H1054" s="313">
        <v>31422267</v>
      </c>
      <c r="I1054" s="313">
        <v>584000</v>
      </c>
      <c r="J1054" s="2" t="s">
        <v>1</v>
      </c>
      <c r="K1054" s="27">
        <v>250000</v>
      </c>
      <c r="L1054" s="4"/>
      <c r="M1054" s="4"/>
      <c r="N1054" s="4"/>
      <c r="O1054" s="4"/>
      <c r="P1054" s="283"/>
      <c r="Q1054" s="283">
        <v>25000</v>
      </c>
      <c r="R1054" s="283">
        <v>25000</v>
      </c>
      <c r="S1054" s="283">
        <v>25000</v>
      </c>
      <c r="T1054" s="283">
        <v>25000</v>
      </c>
      <c r="U1054" s="283">
        <v>25000</v>
      </c>
      <c r="V1054" s="283">
        <v>25000</v>
      </c>
      <c r="W1054" s="283">
        <v>25000</v>
      </c>
      <c r="X1054" s="283">
        <v>25000</v>
      </c>
      <c r="Y1054" s="283">
        <v>25000</v>
      </c>
      <c r="Z1054" s="497">
        <v>25000</v>
      </c>
      <c r="AA1054" s="60" t="s">
        <v>11</v>
      </c>
      <c r="AB1054" s="5"/>
      <c r="AC1054" s="5"/>
      <c r="AD1054" s="5"/>
      <c r="AE1054" s="5"/>
      <c r="AF1054" s="5"/>
    </row>
    <row r="1055" spans="1:46" s="2" customFormat="1" x14ac:dyDescent="0.25">
      <c r="A1055" s="400" t="s">
        <v>1028</v>
      </c>
      <c r="B1055" s="26"/>
      <c r="C1055" s="306"/>
      <c r="D1055" s="54"/>
      <c r="E1055" s="34" t="s">
        <v>12</v>
      </c>
      <c r="F1055" s="35"/>
      <c r="G1055" s="35" t="s">
        <v>905</v>
      </c>
      <c r="H1055" s="35"/>
      <c r="I1055" s="361"/>
      <c r="J1055" s="17" t="s">
        <v>2</v>
      </c>
      <c r="K1055" s="347">
        <v>51894.44</v>
      </c>
      <c r="L1055" s="11"/>
      <c r="M1055" s="11"/>
      <c r="N1055" s="11"/>
      <c r="O1055" s="11"/>
      <c r="P1055" s="142"/>
      <c r="Q1055" s="142">
        <f>4644.44+4750</f>
        <v>9394.4399999999987</v>
      </c>
      <c r="R1055" s="142">
        <f>4500+4500</f>
        <v>9000</v>
      </c>
      <c r="S1055" s="142">
        <f>4125+4125</f>
        <v>8250</v>
      </c>
      <c r="T1055" s="142">
        <f>3625+3625</f>
        <v>7250</v>
      </c>
      <c r="U1055" s="142">
        <f>3000+3000</f>
        <v>6000</v>
      </c>
      <c r="V1055" s="142">
        <f>2375+2375</f>
        <v>4750</v>
      </c>
      <c r="W1055" s="142">
        <f>1750+1750</f>
        <v>3500</v>
      </c>
      <c r="X1055" s="142">
        <f>1125+1125</f>
        <v>2250</v>
      </c>
      <c r="Y1055" s="142">
        <f>500+500</f>
        <v>1000</v>
      </c>
      <c r="Z1055" s="500">
        <f>250+250</f>
        <v>500</v>
      </c>
      <c r="AA1055" s="532" t="s">
        <v>11</v>
      </c>
      <c r="AB1055" s="21"/>
      <c r="AC1055" s="21"/>
      <c r="AD1055" s="21"/>
      <c r="AE1055" s="21"/>
      <c r="AF1055" s="21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</row>
    <row r="1056" spans="1:46" s="6" customFormat="1" ht="13.8" thickBot="1" x14ac:dyDescent="0.3">
      <c r="A1056" s="409" t="s">
        <v>1115</v>
      </c>
      <c r="B1056" s="120"/>
      <c r="C1056" s="307"/>
      <c r="D1056" s="85"/>
      <c r="E1056" s="86" t="s">
        <v>15</v>
      </c>
      <c r="F1056" s="86" t="s">
        <v>405</v>
      </c>
      <c r="G1056" s="125"/>
      <c r="H1056" s="125"/>
      <c r="I1056" s="125"/>
      <c r="J1056" s="365" t="s">
        <v>6</v>
      </c>
      <c r="K1056" s="350">
        <f>K1055+K1054</f>
        <v>301894.44</v>
      </c>
      <c r="L1056" s="43"/>
      <c r="M1056" s="43"/>
      <c r="N1056" s="43"/>
      <c r="O1056" s="43"/>
      <c r="P1056" s="43"/>
      <c r="Q1056" s="43">
        <f t="shared" ref="Q1056:Z1056" si="813">Q1055+Q1054</f>
        <v>34394.44</v>
      </c>
      <c r="R1056" s="43">
        <f t="shared" si="813"/>
        <v>34000</v>
      </c>
      <c r="S1056" s="43">
        <f t="shared" si="813"/>
        <v>33250</v>
      </c>
      <c r="T1056" s="43">
        <f t="shared" si="813"/>
        <v>32250</v>
      </c>
      <c r="U1056" s="43">
        <f t="shared" si="813"/>
        <v>31000</v>
      </c>
      <c r="V1056" s="43">
        <f t="shared" si="813"/>
        <v>29750</v>
      </c>
      <c r="W1056" s="43">
        <f t="shared" si="813"/>
        <v>28500</v>
      </c>
      <c r="X1056" s="43">
        <f t="shared" si="813"/>
        <v>27250</v>
      </c>
      <c r="Y1056" s="43">
        <f t="shared" si="813"/>
        <v>26000</v>
      </c>
      <c r="Z1056" s="499">
        <f t="shared" si="813"/>
        <v>25500</v>
      </c>
      <c r="AA1056" s="533" t="s">
        <v>11</v>
      </c>
      <c r="AB1056" s="43"/>
      <c r="AC1056" s="43"/>
      <c r="AD1056" s="43"/>
      <c r="AE1056" s="43"/>
      <c r="AF1056" s="43"/>
      <c r="AG1056" s="41"/>
      <c r="AH1056" s="41"/>
      <c r="AI1056" s="41"/>
      <c r="AJ1056" s="41"/>
      <c r="AK1056" s="41"/>
      <c r="AL1056" s="41"/>
      <c r="AM1056" s="41"/>
      <c r="AN1056" s="41"/>
      <c r="AO1056" s="41"/>
      <c r="AP1056" s="41"/>
      <c r="AQ1056" s="41"/>
      <c r="AR1056" s="41"/>
      <c r="AS1056" s="41"/>
      <c r="AT1056" s="41"/>
    </row>
    <row r="1057" spans="1:46" s="2" customFormat="1" x14ac:dyDescent="0.25">
      <c r="A1057" s="26" t="s">
        <v>99</v>
      </c>
      <c r="B1057" s="26" t="s">
        <v>96</v>
      </c>
      <c r="C1057" s="306"/>
      <c r="D1057" s="54" t="s">
        <v>3</v>
      </c>
      <c r="E1057" s="284">
        <v>42509</v>
      </c>
      <c r="F1057" s="369" t="s">
        <v>825</v>
      </c>
      <c r="G1057" s="313" t="s">
        <v>766</v>
      </c>
      <c r="H1057" s="313">
        <v>31422267</v>
      </c>
      <c r="I1057" s="313">
        <v>586202</v>
      </c>
      <c r="J1057" s="2" t="s">
        <v>1</v>
      </c>
      <c r="K1057" s="27">
        <v>200000</v>
      </c>
      <c r="L1057" s="4"/>
      <c r="M1057" s="4"/>
      <c r="N1057" s="4"/>
      <c r="O1057" s="4"/>
      <c r="P1057" s="283"/>
      <c r="Q1057" s="283">
        <v>15000</v>
      </c>
      <c r="R1057" s="283">
        <v>15000</v>
      </c>
      <c r="S1057" s="283">
        <v>15000</v>
      </c>
      <c r="T1057" s="283">
        <v>15000</v>
      </c>
      <c r="U1057" s="283">
        <v>15000</v>
      </c>
      <c r="V1057" s="283">
        <v>15000</v>
      </c>
      <c r="W1057" s="283">
        <v>15000</v>
      </c>
      <c r="X1057" s="283">
        <v>15000</v>
      </c>
      <c r="Y1057" s="283">
        <v>15000</v>
      </c>
      <c r="Z1057" s="497">
        <v>15000</v>
      </c>
      <c r="AA1057" s="536">
        <v>10000</v>
      </c>
      <c r="AB1057" s="5">
        <v>10000</v>
      </c>
      <c r="AC1057" s="5">
        <v>10000</v>
      </c>
      <c r="AD1057" s="5">
        <v>10000</v>
      </c>
      <c r="AE1057" s="5">
        <v>10000</v>
      </c>
      <c r="AF1057" s="2" t="s">
        <v>11</v>
      </c>
    </row>
    <row r="1058" spans="1:46" s="2" customFormat="1" x14ac:dyDescent="0.25">
      <c r="A1058" s="400" t="s">
        <v>1034</v>
      </c>
      <c r="B1058" s="26"/>
      <c r="C1058" s="306"/>
      <c r="D1058" s="54"/>
      <c r="E1058" s="34" t="s">
        <v>12</v>
      </c>
      <c r="F1058" s="35"/>
      <c r="G1058" s="35" t="s">
        <v>827</v>
      </c>
      <c r="H1058" s="35"/>
      <c r="I1058" s="361"/>
      <c r="J1058" s="17" t="s">
        <v>2</v>
      </c>
      <c r="K1058" s="347">
        <v>45549.440000000002</v>
      </c>
      <c r="L1058" s="11"/>
      <c r="M1058" s="11"/>
      <c r="N1058" s="11"/>
      <c r="O1058" s="11"/>
      <c r="P1058" s="142"/>
      <c r="Q1058" s="142">
        <f>3324.44+3400</f>
        <v>6724.4400000000005</v>
      </c>
      <c r="R1058" s="142">
        <f>3250+3250</f>
        <v>6500</v>
      </c>
      <c r="S1058" s="142">
        <f>3025+3025</f>
        <v>6050</v>
      </c>
      <c r="T1058" s="142">
        <f>2725+2725</f>
        <v>5450</v>
      </c>
      <c r="U1058" s="142">
        <f>2350+2350</f>
        <v>4700</v>
      </c>
      <c r="V1058" s="142">
        <f>1975+1975</f>
        <v>3950</v>
      </c>
      <c r="W1058" s="142">
        <f>1600+1600</f>
        <v>3200</v>
      </c>
      <c r="X1058" s="142">
        <f>1225+1225</f>
        <v>2450</v>
      </c>
      <c r="Y1058" s="142">
        <f>850+850</f>
        <v>1700</v>
      </c>
      <c r="Z1058" s="500">
        <f>700+700</f>
        <v>1400</v>
      </c>
      <c r="AA1058" s="539">
        <f>550+550</f>
        <v>1100</v>
      </c>
      <c r="AB1058" s="21">
        <f>450+450</f>
        <v>900</v>
      </c>
      <c r="AC1058" s="21">
        <f>350+350</f>
        <v>700</v>
      </c>
      <c r="AD1058" s="21">
        <f>237.5+237.5</f>
        <v>475</v>
      </c>
      <c r="AE1058" s="21">
        <f>125+125</f>
        <v>250</v>
      </c>
      <c r="AF1058" s="17" t="s">
        <v>11</v>
      </c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</row>
    <row r="1059" spans="1:46" s="6" customFormat="1" ht="13.8" thickBot="1" x14ac:dyDescent="0.3">
      <c r="A1059" s="409" t="s">
        <v>1115</v>
      </c>
      <c r="B1059" s="120"/>
      <c r="C1059" s="307"/>
      <c r="D1059" s="85"/>
      <c r="E1059" s="86" t="s">
        <v>15</v>
      </c>
      <c r="F1059" s="86" t="s">
        <v>405</v>
      </c>
      <c r="G1059" s="125"/>
      <c r="H1059" s="125"/>
      <c r="I1059" s="125"/>
      <c r="J1059" s="365" t="s">
        <v>6</v>
      </c>
      <c r="K1059" s="350">
        <f>K1058+K1057</f>
        <v>245549.44</v>
      </c>
      <c r="L1059" s="43"/>
      <c r="M1059" s="43"/>
      <c r="N1059" s="43"/>
      <c r="O1059" s="43"/>
      <c r="P1059" s="43"/>
      <c r="Q1059" s="43">
        <f t="shared" ref="Q1059:AD1059" si="814">Q1058+Q1057</f>
        <v>21724.440000000002</v>
      </c>
      <c r="R1059" s="43">
        <f t="shared" si="814"/>
        <v>21500</v>
      </c>
      <c r="S1059" s="43">
        <f t="shared" si="814"/>
        <v>21050</v>
      </c>
      <c r="T1059" s="43">
        <f t="shared" si="814"/>
        <v>20450</v>
      </c>
      <c r="U1059" s="43">
        <f t="shared" si="814"/>
        <v>19700</v>
      </c>
      <c r="V1059" s="43">
        <f t="shared" si="814"/>
        <v>18950</v>
      </c>
      <c r="W1059" s="43">
        <f t="shared" si="814"/>
        <v>18200</v>
      </c>
      <c r="X1059" s="43">
        <f t="shared" si="814"/>
        <v>17450</v>
      </c>
      <c r="Y1059" s="43">
        <f t="shared" si="814"/>
        <v>16700</v>
      </c>
      <c r="Z1059" s="499">
        <f t="shared" si="814"/>
        <v>16400</v>
      </c>
      <c r="AA1059" s="538">
        <f t="shared" si="814"/>
        <v>11100</v>
      </c>
      <c r="AB1059" s="43">
        <f t="shared" si="814"/>
        <v>10900</v>
      </c>
      <c r="AC1059" s="43">
        <f t="shared" si="814"/>
        <v>10700</v>
      </c>
      <c r="AD1059" s="43">
        <f t="shared" si="814"/>
        <v>10475</v>
      </c>
      <c r="AE1059" s="43">
        <f t="shared" ref="AE1059" si="815">AE1058+AE1057</f>
        <v>10250</v>
      </c>
      <c r="AF1059" s="41" t="s">
        <v>11</v>
      </c>
      <c r="AG1059" s="41"/>
      <c r="AH1059" s="41"/>
      <c r="AI1059" s="41"/>
      <c r="AJ1059" s="41"/>
      <c r="AK1059" s="41"/>
      <c r="AL1059" s="41"/>
      <c r="AM1059" s="41"/>
      <c r="AN1059" s="41"/>
      <c r="AO1059" s="41"/>
      <c r="AP1059" s="41"/>
      <c r="AQ1059" s="41"/>
      <c r="AR1059" s="41"/>
      <c r="AS1059" s="41"/>
      <c r="AT1059" s="41"/>
    </row>
    <row r="1060" spans="1:46" s="2" customFormat="1" x14ac:dyDescent="0.25">
      <c r="A1060" s="26" t="s">
        <v>98</v>
      </c>
      <c r="B1060" s="26" t="s">
        <v>96</v>
      </c>
      <c r="C1060" s="306"/>
      <c r="D1060" s="54" t="s">
        <v>3</v>
      </c>
      <c r="E1060" s="284">
        <v>42509</v>
      </c>
      <c r="F1060" s="346" t="s">
        <v>259</v>
      </c>
      <c r="G1060" s="323" t="s">
        <v>129</v>
      </c>
      <c r="H1060" s="323">
        <v>31300267</v>
      </c>
      <c r="I1060" s="323">
        <v>585002</v>
      </c>
      <c r="J1060" s="2" t="s">
        <v>1</v>
      </c>
      <c r="K1060" s="27">
        <v>400000</v>
      </c>
      <c r="L1060" s="4"/>
      <c r="M1060" s="4"/>
      <c r="N1060" s="4"/>
      <c r="O1060" s="4"/>
      <c r="P1060" s="283"/>
      <c r="Q1060" s="283">
        <v>40000</v>
      </c>
      <c r="R1060" s="283">
        <v>40000</v>
      </c>
      <c r="S1060" s="283">
        <v>40000</v>
      </c>
      <c r="T1060" s="283">
        <v>40000</v>
      </c>
      <c r="U1060" s="283">
        <v>40000</v>
      </c>
      <c r="V1060" s="283">
        <v>40000</v>
      </c>
      <c r="W1060" s="283">
        <v>40000</v>
      </c>
      <c r="X1060" s="283">
        <v>40000</v>
      </c>
      <c r="Y1060" s="283">
        <v>40000</v>
      </c>
      <c r="Z1060" s="497">
        <v>40000</v>
      </c>
      <c r="AA1060" s="60" t="s">
        <v>11</v>
      </c>
    </row>
    <row r="1061" spans="1:46" s="2" customFormat="1" x14ac:dyDescent="0.25">
      <c r="A1061" s="400" t="s">
        <v>1030</v>
      </c>
      <c r="B1061" s="26"/>
      <c r="C1061" s="306"/>
      <c r="D1061" s="54"/>
      <c r="E1061" s="34" t="s">
        <v>12</v>
      </c>
      <c r="F1061" s="34"/>
      <c r="G1061" s="35" t="s">
        <v>828</v>
      </c>
      <c r="H1061" s="35"/>
      <c r="I1061" s="361"/>
      <c r="J1061" s="17" t="s">
        <v>2</v>
      </c>
      <c r="K1061" s="347">
        <v>83031.11</v>
      </c>
      <c r="L1061" s="11"/>
      <c r="M1061" s="11"/>
      <c r="N1061" s="11"/>
      <c r="O1061" s="11"/>
      <c r="P1061" s="142"/>
      <c r="Q1061" s="142">
        <f>7431.11+7600</f>
        <v>15031.11</v>
      </c>
      <c r="R1061" s="142">
        <f>7200+7200</f>
        <v>14400</v>
      </c>
      <c r="S1061" s="142">
        <f>6600+6600</f>
        <v>13200</v>
      </c>
      <c r="T1061" s="142">
        <f>5800+5800</f>
        <v>11600</v>
      </c>
      <c r="U1061" s="142">
        <f>4800+4800</f>
        <v>9600</v>
      </c>
      <c r="V1061" s="142">
        <f>3800+3800</f>
        <v>7600</v>
      </c>
      <c r="W1061" s="142">
        <f>2800+2800</f>
        <v>5600</v>
      </c>
      <c r="X1061" s="142">
        <f>1800+1800</f>
        <v>3600</v>
      </c>
      <c r="Y1061" s="142">
        <f>800+800</f>
        <v>1600</v>
      </c>
      <c r="Z1061" s="500">
        <f>400+400</f>
        <v>800</v>
      </c>
      <c r="AA1061" s="532" t="s">
        <v>11</v>
      </c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</row>
    <row r="1062" spans="1:46" s="6" customFormat="1" ht="13.8" thickBot="1" x14ac:dyDescent="0.3">
      <c r="A1062" s="409" t="s">
        <v>1115</v>
      </c>
      <c r="B1062" s="120"/>
      <c r="C1062" s="307"/>
      <c r="D1062" s="85"/>
      <c r="E1062" s="86" t="s">
        <v>17</v>
      </c>
      <c r="F1062" s="86" t="s">
        <v>408</v>
      </c>
      <c r="G1062" s="125"/>
      <c r="H1062" s="125"/>
      <c r="I1062" s="125"/>
      <c r="J1062" s="365" t="s">
        <v>6</v>
      </c>
      <c r="K1062" s="350">
        <f>K1061+K1060</f>
        <v>483031.11</v>
      </c>
      <c r="L1062" s="43"/>
      <c r="M1062" s="43"/>
      <c r="N1062" s="43"/>
      <c r="O1062" s="43"/>
      <c r="P1062" s="43"/>
      <c r="Q1062" s="43">
        <f t="shared" ref="Q1062:Y1062" si="816">Q1061+Q1060</f>
        <v>55031.11</v>
      </c>
      <c r="R1062" s="43">
        <f t="shared" si="816"/>
        <v>54400</v>
      </c>
      <c r="S1062" s="43">
        <f t="shared" si="816"/>
        <v>53200</v>
      </c>
      <c r="T1062" s="43">
        <f t="shared" si="816"/>
        <v>51600</v>
      </c>
      <c r="U1062" s="43">
        <f t="shared" si="816"/>
        <v>49600</v>
      </c>
      <c r="V1062" s="43">
        <f t="shared" si="816"/>
        <v>47600</v>
      </c>
      <c r="W1062" s="43">
        <f t="shared" si="816"/>
        <v>45600</v>
      </c>
      <c r="X1062" s="43">
        <f t="shared" si="816"/>
        <v>43600</v>
      </c>
      <c r="Y1062" s="43">
        <f t="shared" si="816"/>
        <v>41600</v>
      </c>
      <c r="Z1062" s="499">
        <f t="shared" ref="Z1062" si="817">Z1061+Z1060</f>
        <v>40800</v>
      </c>
      <c r="AA1062" s="533" t="s">
        <v>11</v>
      </c>
      <c r="AB1062" s="41"/>
      <c r="AC1062" s="41"/>
      <c r="AD1062" s="41"/>
      <c r="AE1062" s="41"/>
      <c r="AF1062" s="41"/>
      <c r="AG1062" s="41"/>
      <c r="AH1062" s="41"/>
      <c r="AI1062" s="41"/>
      <c r="AJ1062" s="41"/>
      <c r="AK1062" s="41"/>
      <c r="AL1062" s="41"/>
      <c r="AM1062" s="41"/>
      <c r="AN1062" s="41"/>
      <c r="AO1062" s="41"/>
      <c r="AP1062" s="41"/>
      <c r="AQ1062" s="41"/>
      <c r="AR1062" s="41"/>
      <c r="AS1062" s="41"/>
      <c r="AT1062" s="41"/>
    </row>
    <row r="1063" spans="1:46" s="2" customFormat="1" x14ac:dyDescent="0.25">
      <c r="A1063" s="26" t="s">
        <v>98</v>
      </c>
      <c r="B1063" s="26" t="s">
        <v>96</v>
      </c>
      <c r="C1063" s="306"/>
      <c r="D1063" s="54" t="s">
        <v>3</v>
      </c>
      <c r="E1063" s="34">
        <v>42509</v>
      </c>
      <c r="F1063" s="34" t="s">
        <v>258</v>
      </c>
      <c r="G1063" s="35" t="s">
        <v>829</v>
      </c>
      <c r="H1063" s="35">
        <v>31300267</v>
      </c>
      <c r="I1063" s="35">
        <v>585106</v>
      </c>
      <c r="J1063" s="2" t="s">
        <v>1</v>
      </c>
      <c r="K1063" s="27">
        <v>120000</v>
      </c>
      <c r="L1063" s="4"/>
      <c r="M1063" s="4"/>
      <c r="N1063" s="4"/>
      <c r="O1063" s="4"/>
      <c r="P1063" s="283"/>
      <c r="Q1063" s="283">
        <v>25000</v>
      </c>
      <c r="R1063" s="283">
        <v>25000</v>
      </c>
      <c r="S1063" s="283">
        <v>25000</v>
      </c>
      <c r="T1063" s="283">
        <v>25000</v>
      </c>
      <c r="U1063" s="283">
        <v>20000</v>
      </c>
      <c r="V1063" s="2" t="s">
        <v>11</v>
      </c>
      <c r="Z1063" s="490"/>
      <c r="AA1063" s="60"/>
    </row>
    <row r="1064" spans="1:46" s="2" customFormat="1" x14ac:dyDescent="0.25">
      <c r="A1064" s="400" t="s">
        <v>1031</v>
      </c>
      <c r="B1064" s="26"/>
      <c r="C1064" s="306"/>
      <c r="D1064" s="54"/>
      <c r="E1064" s="34" t="s">
        <v>12</v>
      </c>
      <c r="F1064" s="34"/>
      <c r="G1064" s="35" t="s">
        <v>830</v>
      </c>
      <c r="H1064" s="35"/>
      <c r="I1064" s="361"/>
      <c r="J1064" s="17" t="s">
        <v>2</v>
      </c>
      <c r="K1064" s="347">
        <v>14950</v>
      </c>
      <c r="L1064" s="11"/>
      <c r="M1064" s="11"/>
      <c r="N1064" s="11"/>
      <c r="O1064" s="11"/>
      <c r="P1064" s="142"/>
      <c r="Q1064" s="142">
        <f>2200+2250</f>
        <v>4450</v>
      </c>
      <c r="R1064" s="142">
        <f>2000+2000</f>
        <v>4000</v>
      </c>
      <c r="S1064" s="142">
        <f>1625+1625</f>
        <v>3250</v>
      </c>
      <c r="T1064" s="142">
        <f>1125+1125</f>
        <v>2250</v>
      </c>
      <c r="U1064" s="142">
        <f>500+500</f>
        <v>1000</v>
      </c>
      <c r="V1064" s="17" t="s">
        <v>11</v>
      </c>
      <c r="W1064" s="17"/>
      <c r="X1064" s="17"/>
      <c r="Y1064" s="17"/>
      <c r="Z1064" s="491"/>
      <c r="AA1064" s="532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</row>
    <row r="1065" spans="1:46" s="6" customFormat="1" ht="13.8" thickBot="1" x14ac:dyDescent="0.3">
      <c r="A1065" s="120"/>
      <c r="B1065" s="120"/>
      <c r="C1065" s="307"/>
      <c r="D1065" s="85"/>
      <c r="E1065" s="86" t="s">
        <v>17</v>
      </c>
      <c r="F1065" s="86" t="s">
        <v>410</v>
      </c>
      <c r="G1065" s="125"/>
      <c r="H1065" s="125"/>
      <c r="I1065" s="125"/>
      <c r="J1065" s="365" t="s">
        <v>6</v>
      </c>
      <c r="K1065" s="350">
        <f>K1064+K1063</f>
        <v>134950</v>
      </c>
      <c r="L1065" s="43"/>
      <c r="M1065" s="43"/>
      <c r="N1065" s="43"/>
      <c r="O1065" s="43"/>
      <c r="P1065" s="43"/>
      <c r="Q1065" s="43">
        <f t="shared" ref="Q1065:T1065" si="818">Q1064+Q1063</f>
        <v>29450</v>
      </c>
      <c r="R1065" s="43">
        <f t="shared" si="818"/>
        <v>29000</v>
      </c>
      <c r="S1065" s="43">
        <f t="shared" si="818"/>
        <v>28250</v>
      </c>
      <c r="T1065" s="43">
        <f t="shared" si="818"/>
        <v>27250</v>
      </c>
      <c r="U1065" s="43">
        <f t="shared" ref="U1065" si="819">U1064+U1063</f>
        <v>21000</v>
      </c>
      <c r="V1065" s="41" t="s">
        <v>11</v>
      </c>
      <c r="W1065" s="41"/>
      <c r="X1065" s="41"/>
      <c r="Y1065" s="41"/>
      <c r="Z1065" s="492"/>
      <c r="AA1065" s="533"/>
      <c r="AB1065" s="41"/>
      <c r="AC1065" s="41"/>
      <c r="AD1065" s="41"/>
      <c r="AE1065" s="41"/>
      <c r="AF1065" s="41"/>
      <c r="AG1065" s="41"/>
      <c r="AH1065" s="41"/>
      <c r="AI1065" s="41"/>
      <c r="AJ1065" s="41"/>
      <c r="AK1065" s="41"/>
      <c r="AL1065" s="41"/>
      <c r="AM1065" s="41"/>
      <c r="AN1065" s="41"/>
      <c r="AO1065" s="41"/>
      <c r="AP1065" s="41"/>
      <c r="AQ1065" s="41"/>
      <c r="AR1065" s="41"/>
      <c r="AS1065" s="41"/>
      <c r="AT1065" s="41"/>
    </row>
    <row r="1066" spans="1:46" s="2" customFormat="1" x14ac:dyDescent="0.25">
      <c r="A1066" s="26" t="s">
        <v>102</v>
      </c>
      <c r="B1066" s="26" t="s">
        <v>96</v>
      </c>
      <c r="C1066" s="306"/>
      <c r="D1066" s="54" t="s">
        <v>3</v>
      </c>
      <c r="E1066" s="34">
        <v>42509</v>
      </c>
      <c r="F1066" s="34" t="s">
        <v>258</v>
      </c>
      <c r="G1066" s="35" t="s">
        <v>831</v>
      </c>
      <c r="H1066" s="35">
        <v>31162267</v>
      </c>
      <c r="I1066" s="35">
        <v>585121</v>
      </c>
      <c r="J1066" s="2" t="s">
        <v>1</v>
      </c>
      <c r="K1066" s="27">
        <v>25000</v>
      </c>
      <c r="L1066" s="4"/>
      <c r="M1066" s="4"/>
      <c r="N1066" s="4"/>
      <c r="O1066" s="4"/>
      <c r="P1066" s="283"/>
      <c r="Q1066" s="283">
        <v>5000</v>
      </c>
      <c r="R1066" s="283">
        <v>5000</v>
      </c>
      <c r="S1066" s="283">
        <v>5000</v>
      </c>
      <c r="T1066" s="283">
        <v>5000</v>
      </c>
      <c r="U1066" s="283">
        <v>5000</v>
      </c>
      <c r="V1066" s="2" t="s">
        <v>11</v>
      </c>
      <c r="Z1066" s="490"/>
      <c r="AA1066" s="60"/>
    </row>
    <row r="1067" spans="1:46" s="2" customFormat="1" x14ac:dyDescent="0.25">
      <c r="A1067" s="400" t="s">
        <v>1029</v>
      </c>
      <c r="B1067" s="26"/>
      <c r="C1067" s="306"/>
      <c r="D1067" s="54"/>
      <c r="E1067" s="34" t="s">
        <v>12</v>
      </c>
      <c r="F1067" s="34"/>
      <c r="G1067" s="35" t="s">
        <v>832</v>
      </c>
      <c r="H1067" s="35"/>
      <c r="I1067" s="361"/>
      <c r="J1067" s="17" t="s">
        <v>2</v>
      </c>
      <c r="K1067" s="347">
        <v>3239.44</v>
      </c>
      <c r="L1067" s="11"/>
      <c r="M1067" s="11"/>
      <c r="N1067" s="11"/>
      <c r="O1067" s="11"/>
      <c r="P1067" s="142"/>
      <c r="Q1067" s="142">
        <f>464.44+475</f>
        <v>939.44</v>
      </c>
      <c r="R1067" s="142">
        <f>425+425</f>
        <v>850</v>
      </c>
      <c r="S1067" s="142">
        <f>350+350</f>
        <v>700</v>
      </c>
      <c r="T1067" s="142">
        <f>250+250</f>
        <v>500</v>
      </c>
      <c r="U1067" s="142">
        <f>125+125</f>
        <v>250</v>
      </c>
      <c r="V1067" s="17" t="s">
        <v>11</v>
      </c>
      <c r="W1067" s="17"/>
      <c r="X1067" s="17"/>
      <c r="Y1067" s="17"/>
      <c r="Z1067" s="491"/>
      <c r="AA1067" s="532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</row>
    <row r="1068" spans="1:46" s="6" customFormat="1" ht="13.8" thickBot="1" x14ac:dyDescent="0.3">
      <c r="A1068" s="120"/>
      <c r="B1068" s="120"/>
      <c r="C1068" s="307"/>
      <c r="D1068" s="85"/>
      <c r="E1068" s="86" t="s">
        <v>160</v>
      </c>
      <c r="F1068" s="86" t="s">
        <v>410</v>
      </c>
      <c r="G1068" s="125"/>
      <c r="H1068" s="125"/>
      <c r="I1068" s="125"/>
      <c r="J1068" s="365" t="s">
        <v>6</v>
      </c>
      <c r="K1068" s="350">
        <f>K1067+K1066</f>
        <v>28239.439999999999</v>
      </c>
      <c r="L1068" s="43"/>
      <c r="M1068" s="43"/>
      <c r="N1068" s="43"/>
      <c r="O1068" s="43"/>
      <c r="P1068" s="43"/>
      <c r="Q1068" s="43">
        <f t="shared" ref="Q1068:U1068" si="820">Q1067+Q1066</f>
        <v>5939.4400000000005</v>
      </c>
      <c r="R1068" s="43">
        <f t="shared" si="820"/>
        <v>5850</v>
      </c>
      <c r="S1068" s="43">
        <f t="shared" si="820"/>
        <v>5700</v>
      </c>
      <c r="T1068" s="43">
        <f t="shared" si="820"/>
        <v>5500</v>
      </c>
      <c r="U1068" s="43">
        <f t="shared" si="820"/>
        <v>5250</v>
      </c>
      <c r="V1068" s="41" t="s">
        <v>11</v>
      </c>
      <c r="W1068" s="41"/>
      <c r="X1068" s="41"/>
      <c r="Y1068" s="41"/>
      <c r="Z1068" s="492"/>
      <c r="AA1068" s="533"/>
      <c r="AB1068" s="41"/>
      <c r="AC1068" s="41"/>
      <c r="AD1068" s="41"/>
      <c r="AE1068" s="41"/>
      <c r="AF1068" s="41"/>
      <c r="AG1068" s="41"/>
      <c r="AH1068" s="41"/>
      <c r="AI1068" s="41"/>
      <c r="AJ1068" s="41"/>
      <c r="AK1068" s="41"/>
      <c r="AL1068" s="41"/>
      <c r="AM1068" s="41"/>
      <c r="AN1068" s="41"/>
      <c r="AO1068" s="41"/>
      <c r="AP1068" s="41"/>
      <c r="AQ1068" s="41"/>
      <c r="AR1068" s="41"/>
      <c r="AS1068" s="41"/>
      <c r="AT1068" s="41"/>
    </row>
    <row r="1069" spans="1:46" s="2" customFormat="1" x14ac:dyDescent="0.25">
      <c r="A1069" s="26" t="s">
        <v>98</v>
      </c>
      <c r="B1069" s="26" t="s">
        <v>96</v>
      </c>
      <c r="C1069" s="306"/>
      <c r="D1069" s="54" t="s">
        <v>3</v>
      </c>
      <c r="E1069" s="34">
        <v>42509</v>
      </c>
      <c r="F1069" s="34" t="s">
        <v>269</v>
      </c>
      <c r="G1069" s="322" t="s">
        <v>803</v>
      </c>
      <c r="H1069" s="322">
        <v>31300266</v>
      </c>
      <c r="I1069" s="322">
        <v>582017</v>
      </c>
      <c r="J1069" s="2" t="s">
        <v>1</v>
      </c>
      <c r="K1069" s="27">
        <v>180000</v>
      </c>
      <c r="L1069" s="4"/>
      <c r="M1069" s="4"/>
      <c r="N1069" s="4"/>
      <c r="O1069" s="4"/>
      <c r="P1069" s="283"/>
      <c r="Q1069" s="283">
        <v>15000</v>
      </c>
      <c r="R1069" s="283">
        <v>15000</v>
      </c>
      <c r="S1069" s="283">
        <v>15000</v>
      </c>
      <c r="T1069" s="283">
        <v>15000</v>
      </c>
      <c r="U1069" s="283">
        <v>15000</v>
      </c>
      <c r="V1069" s="283">
        <v>15000</v>
      </c>
      <c r="W1069" s="283">
        <v>15000</v>
      </c>
      <c r="X1069" s="283">
        <v>15000</v>
      </c>
      <c r="Y1069" s="283">
        <v>15000</v>
      </c>
      <c r="Z1069" s="497">
        <v>15000</v>
      </c>
      <c r="AA1069" s="536">
        <v>15000</v>
      </c>
      <c r="AB1069" s="5">
        <v>15000</v>
      </c>
      <c r="AC1069" s="2" t="s">
        <v>11</v>
      </c>
    </row>
    <row r="1070" spans="1:46" s="2" customFormat="1" x14ac:dyDescent="0.25">
      <c r="A1070" s="400" t="s">
        <v>1032</v>
      </c>
      <c r="B1070" s="26"/>
      <c r="C1070" s="306"/>
      <c r="D1070" s="54"/>
      <c r="E1070" s="317" t="s">
        <v>13</v>
      </c>
      <c r="F1070" s="34" t="s">
        <v>355</v>
      </c>
      <c r="G1070" s="35" t="s">
        <v>804</v>
      </c>
      <c r="H1070" s="146"/>
      <c r="I1070" s="35"/>
      <c r="J1070" s="17" t="s">
        <v>2</v>
      </c>
      <c r="K1070" s="347">
        <v>38030</v>
      </c>
      <c r="L1070" s="11"/>
      <c r="M1070" s="11"/>
      <c r="N1070" s="11"/>
      <c r="O1070" s="11"/>
      <c r="P1070" s="142"/>
      <c r="Q1070" s="142">
        <f>3080+3150</f>
        <v>6230</v>
      </c>
      <c r="R1070" s="142">
        <f>3000+3000</f>
        <v>6000</v>
      </c>
      <c r="S1070" s="142">
        <f>2775+2775</f>
        <v>5550</v>
      </c>
      <c r="T1070" s="142">
        <f>2475+2475</f>
        <v>4950</v>
      </c>
      <c r="U1070" s="142">
        <f>2100+2100</f>
        <v>4200</v>
      </c>
      <c r="V1070" s="142">
        <f>1725+1725</f>
        <v>3450</v>
      </c>
      <c r="W1070" s="142">
        <f>1350+1350</f>
        <v>2700</v>
      </c>
      <c r="X1070" s="142">
        <f>975+975</f>
        <v>1950</v>
      </c>
      <c r="Y1070" s="142">
        <f>600+600</f>
        <v>1200</v>
      </c>
      <c r="Z1070" s="500">
        <f>450+450</f>
        <v>900</v>
      </c>
      <c r="AA1070" s="539">
        <f>300+300</f>
        <v>600</v>
      </c>
      <c r="AB1070" s="21">
        <f>150+150</f>
        <v>300</v>
      </c>
      <c r="AC1070" s="17" t="s">
        <v>11</v>
      </c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</row>
    <row r="1071" spans="1:46" s="6" customFormat="1" ht="13.8" thickBot="1" x14ac:dyDescent="0.3">
      <c r="A1071" s="409" t="s">
        <v>1115</v>
      </c>
      <c r="B1071" s="120"/>
      <c r="C1071" s="307"/>
      <c r="D1071" s="85"/>
      <c r="E1071" s="86" t="s">
        <v>161</v>
      </c>
      <c r="F1071" s="86" t="s">
        <v>408</v>
      </c>
      <c r="G1071" s="125" t="s">
        <v>839</v>
      </c>
      <c r="H1071" s="125"/>
      <c r="I1071" s="125"/>
      <c r="J1071" s="365" t="s">
        <v>6</v>
      </c>
      <c r="K1071" s="350">
        <f>K1070+K1069</f>
        <v>218030</v>
      </c>
      <c r="L1071" s="43"/>
      <c r="M1071" s="43"/>
      <c r="N1071" s="43"/>
      <c r="O1071" s="43"/>
      <c r="P1071" s="43"/>
      <c r="Q1071" s="43">
        <f t="shared" ref="Q1071:AA1071" si="821">Q1070+Q1069</f>
        <v>21230</v>
      </c>
      <c r="R1071" s="43">
        <f t="shared" si="821"/>
        <v>21000</v>
      </c>
      <c r="S1071" s="43">
        <f t="shared" si="821"/>
        <v>20550</v>
      </c>
      <c r="T1071" s="43">
        <f t="shared" si="821"/>
        <v>19950</v>
      </c>
      <c r="U1071" s="43">
        <f t="shared" si="821"/>
        <v>19200</v>
      </c>
      <c r="V1071" s="43">
        <f t="shared" si="821"/>
        <v>18450</v>
      </c>
      <c r="W1071" s="43">
        <f t="shared" si="821"/>
        <v>17700</v>
      </c>
      <c r="X1071" s="43">
        <f t="shared" si="821"/>
        <v>16950</v>
      </c>
      <c r="Y1071" s="43">
        <f t="shared" si="821"/>
        <v>16200</v>
      </c>
      <c r="Z1071" s="499">
        <f t="shared" si="821"/>
        <v>15900</v>
      </c>
      <c r="AA1071" s="538">
        <f t="shared" si="821"/>
        <v>15600</v>
      </c>
      <c r="AB1071" s="43">
        <f t="shared" ref="AB1071" si="822">AB1070+AB1069</f>
        <v>15300</v>
      </c>
      <c r="AC1071" s="41" t="s">
        <v>11</v>
      </c>
      <c r="AD1071" s="41"/>
      <c r="AE1071" s="41"/>
      <c r="AF1071" s="41"/>
      <c r="AG1071" s="41"/>
      <c r="AH1071" s="41"/>
      <c r="AI1071" s="41"/>
      <c r="AJ1071" s="41"/>
      <c r="AK1071" s="41"/>
      <c r="AL1071" s="41"/>
      <c r="AM1071" s="41"/>
      <c r="AN1071" s="41"/>
      <c r="AO1071" s="41"/>
      <c r="AP1071" s="41"/>
      <c r="AQ1071" s="41"/>
      <c r="AR1071" s="41"/>
      <c r="AS1071" s="41"/>
      <c r="AT1071" s="41"/>
    </row>
    <row r="1072" spans="1:46" s="2" customFormat="1" x14ac:dyDescent="0.25">
      <c r="A1072" s="26" t="s">
        <v>99</v>
      </c>
      <c r="B1072" s="26" t="s">
        <v>96</v>
      </c>
      <c r="C1072" s="306"/>
      <c r="D1072" s="33" t="s">
        <v>3</v>
      </c>
      <c r="E1072" s="34">
        <v>42509</v>
      </c>
      <c r="F1072" s="34" t="s">
        <v>281</v>
      </c>
      <c r="G1072" s="35" t="s">
        <v>833</v>
      </c>
      <c r="H1072" s="35">
        <v>31171256</v>
      </c>
      <c r="I1072" s="35">
        <v>584003</v>
      </c>
      <c r="J1072" s="2" t="s">
        <v>1</v>
      </c>
      <c r="K1072" s="27">
        <v>51651</v>
      </c>
      <c r="L1072" s="4"/>
      <c r="M1072" s="4"/>
      <c r="N1072" s="4"/>
      <c r="O1072" s="4"/>
      <c r="P1072" s="4"/>
      <c r="Q1072" s="4">
        <v>11651</v>
      </c>
      <c r="R1072" s="283">
        <v>10000</v>
      </c>
      <c r="S1072" s="283">
        <v>10000</v>
      </c>
      <c r="T1072" s="283">
        <v>10000</v>
      </c>
      <c r="U1072" s="283">
        <v>10000</v>
      </c>
      <c r="V1072" s="2" t="s">
        <v>11</v>
      </c>
      <c r="Z1072" s="490"/>
      <c r="AA1072" s="60"/>
    </row>
    <row r="1073" spans="1:46" s="2" customFormat="1" x14ac:dyDescent="0.25">
      <c r="A1073" s="400" t="s">
        <v>1033</v>
      </c>
      <c r="B1073" s="26"/>
      <c r="C1073" s="306"/>
      <c r="D1073" s="33"/>
      <c r="E1073" s="34" t="s">
        <v>12</v>
      </c>
      <c r="F1073" s="34"/>
      <c r="G1073" s="35" t="s">
        <v>834</v>
      </c>
      <c r="H1073" s="35"/>
      <c r="I1073" s="35"/>
      <c r="J1073" s="17" t="s">
        <v>2</v>
      </c>
      <c r="K1073" s="28">
        <v>6511.54</v>
      </c>
      <c r="L1073" s="11"/>
      <c r="M1073" s="11"/>
      <c r="N1073" s="11"/>
      <c r="O1073" s="11"/>
      <c r="P1073" s="11"/>
      <c r="Q1073" s="11">
        <f>945.03+966.51</f>
        <v>1911.54</v>
      </c>
      <c r="R1073" s="142">
        <f>850+850</f>
        <v>1700</v>
      </c>
      <c r="S1073" s="142">
        <f>700+700</f>
        <v>1400</v>
      </c>
      <c r="T1073" s="142">
        <f>500+500</f>
        <v>1000</v>
      </c>
      <c r="U1073" s="142">
        <f>250+250</f>
        <v>500</v>
      </c>
      <c r="V1073" s="17" t="s">
        <v>11</v>
      </c>
      <c r="W1073" s="17"/>
      <c r="X1073" s="17"/>
      <c r="Y1073" s="17"/>
      <c r="Z1073" s="491"/>
      <c r="AA1073" s="532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</row>
    <row r="1074" spans="1:46" s="6" customFormat="1" ht="13.8" thickBot="1" x14ac:dyDescent="0.3">
      <c r="A1074" s="120"/>
      <c r="B1074" s="120"/>
      <c r="C1074" s="307"/>
      <c r="D1074" s="85"/>
      <c r="E1074" s="86" t="s">
        <v>15</v>
      </c>
      <c r="F1074" s="86" t="s">
        <v>410</v>
      </c>
      <c r="G1074" s="125" t="s">
        <v>835</v>
      </c>
      <c r="H1074" s="125"/>
      <c r="I1074" s="125"/>
      <c r="J1074" s="41" t="s">
        <v>6</v>
      </c>
      <c r="K1074" s="42">
        <f>K1073+K1072</f>
        <v>58162.54</v>
      </c>
      <c r="L1074" s="43"/>
      <c r="M1074" s="43"/>
      <c r="N1074" s="43"/>
      <c r="O1074" s="43"/>
      <c r="P1074" s="43"/>
      <c r="Q1074" s="43">
        <f t="shared" ref="Q1074:U1074" si="823">Q1073+Q1072</f>
        <v>13562.54</v>
      </c>
      <c r="R1074" s="43">
        <f t="shared" si="823"/>
        <v>11700</v>
      </c>
      <c r="S1074" s="43">
        <f t="shared" si="823"/>
        <v>11400</v>
      </c>
      <c r="T1074" s="43">
        <f t="shared" si="823"/>
        <v>11000</v>
      </c>
      <c r="U1074" s="43">
        <f t="shared" si="823"/>
        <v>10500</v>
      </c>
      <c r="V1074" s="41" t="s">
        <v>11</v>
      </c>
      <c r="W1074" s="41"/>
      <c r="X1074" s="41"/>
      <c r="Y1074" s="41"/>
      <c r="Z1074" s="492"/>
      <c r="AA1074" s="533"/>
      <c r="AB1074" s="41"/>
      <c r="AC1074" s="41"/>
      <c r="AD1074" s="41"/>
      <c r="AE1074" s="41"/>
      <c r="AF1074" s="41"/>
      <c r="AG1074" s="41"/>
      <c r="AH1074" s="41"/>
      <c r="AI1074" s="41"/>
      <c r="AJ1074" s="41"/>
      <c r="AK1074" s="41"/>
      <c r="AL1074" s="41"/>
      <c r="AM1074" s="41"/>
      <c r="AN1074" s="41"/>
      <c r="AO1074" s="41"/>
      <c r="AP1074" s="41"/>
      <c r="AQ1074" s="41"/>
      <c r="AR1074" s="41"/>
      <c r="AS1074" s="41"/>
      <c r="AT1074" s="41"/>
    </row>
    <row r="1075" spans="1:46" s="3" customFormat="1" x14ac:dyDescent="0.25">
      <c r="A1075" s="121"/>
      <c r="B1075" s="121"/>
      <c r="C1075" s="306"/>
      <c r="D1075" s="54"/>
      <c r="E1075" s="54"/>
      <c r="F1075" s="54"/>
      <c r="G1075" s="36" t="s">
        <v>32</v>
      </c>
      <c r="H1075" s="152">
        <v>1774119</v>
      </c>
      <c r="I1075" s="36">
        <v>591100</v>
      </c>
      <c r="J1075" s="33" t="s">
        <v>1</v>
      </c>
      <c r="K1075" s="37">
        <f>K1072+K1069+K1066+K1063+K1060+K1057+K1054+K1051+K1048+K1045+K1042+K1039+K1036</f>
        <v>2324407</v>
      </c>
      <c r="L1075" s="7"/>
      <c r="M1075" s="7"/>
      <c r="N1075" s="67"/>
      <c r="O1075" s="67"/>
      <c r="P1075" s="67"/>
      <c r="Q1075" s="67">
        <f>Q1072+Q1069+Q1066+Q1063+Q1060+Q1057+Q1054+Q1051+Q1048+Q1045+Q1042+Q1039+Q1036</f>
        <v>294407</v>
      </c>
      <c r="R1075" s="67">
        <f>R1072+R1069+R1066+R1063+R1060+R1057+R1054+R1051+R1048+R1045+R1042+R1039+R1036</f>
        <v>285000</v>
      </c>
      <c r="S1075" s="67">
        <f t="shared" ref="S1075" si="824">S1072+S1069+S1066+S1063+S1060+S1057+S1054+S1051+S1048+S1045+S1042+S1039+S1036</f>
        <v>285000</v>
      </c>
      <c r="T1075" s="67">
        <f>T1072+T1069+T1066+T1063+T1060+T1057+T1054+T1051+T1048+T1045+T1042+T1039+T1036</f>
        <v>275000</v>
      </c>
      <c r="U1075" s="67">
        <f>U1072+U1069+U1066+U1063+U1060+U1057+U1054+U1051+U1045+U1042+U1039+U1036</f>
        <v>265000</v>
      </c>
      <c r="V1075" s="67">
        <f>V1069+V1060+V1057+V1054+V1051+V1036</f>
        <v>140000</v>
      </c>
      <c r="W1075" s="67">
        <f t="shared" ref="W1075:Y1075" si="825">W1069+W1060+W1057+W1054+W1051+W1036</f>
        <v>140000</v>
      </c>
      <c r="X1075" s="67">
        <f t="shared" si="825"/>
        <v>140000</v>
      </c>
      <c r="Y1075" s="67">
        <f t="shared" si="825"/>
        <v>140000</v>
      </c>
      <c r="Z1075" s="507">
        <f>Z1069+Z1060+Z1057+Z1054+Z1051</f>
        <v>130000</v>
      </c>
      <c r="AA1075" s="546">
        <f>AA1069+AA1057+AA1051</f>
        <v>55000</v>
      </c>
      <c r="AB1075" s="67">
        <f t="shared" ref="AB1075" si="826">AB1069+AB1057+AB1051</f>
        <v>55000</v>
      </c>
      <c r="AC1075" s="67">
        <f t="shared" ref="AC1075:AE1076" si="827">AC1057+AC1051</f>
        <v>40000</v>
      </c>
      <c r="AD1075" s="67">
        <f t="shared" si="827"/>
        <v>40000</v>
      </c>
      <c r="AE1075" s="67">
        <f t="shared" si="827"/>
        <v>40000</v>
      </c>
      <c r="AF1075" s="3" t="s">
        <v>11</v>
      </c>
    </row>
    <row r="1076" spans="1:46" s="3" customFormat="1" x14ac:dyDescent="0.25">
      <c r="A1076" s="121"/>
      <c r="B1076" s="121"/>
      <c r="C1076" s="306"/>
      <c r="D1076" s="54"/>
      <c r="E1076" s="54"/>
      <c r="F1076" s="54"/>
      <c r="G1076" s="33"/>
      <c r="H1076" s="152">
        <v>1774119</v>
      </c>
      <c r="I1076" s="33">
        <v>595100</v>
      </c>
      <c r="J1076" s="38" t="s">
        <v>2</v>
      </c>
      <c r="K1076" s="37">
        <f>K1073+K1070+K1067+K1064+K1061+K1058+K1055+K1052+K1049+K1046+K1043+K1040+K1037</f>
        <v>440302.13000000006</v>
      </c>
      <c r="L1076" s="16"/>
      <c r="M1076" s="16"/>
      <c r="N1076" s="7"/>
      <c r="O1076" s="7"/>
      <c r="P1076" s="7"/>
      <c r="Q1076" s="7">
        <f>Q1073+Q1070+Q1067+Q1064+Q1061+Q1058+Q1055+Q1052+Q1049+Q1046+Q1043+Q1040+Q1037</f>
        <v>83302.13</v>
      </c>
      <c r="R1076" s="7">
        <f>R1073+R1070+R1067+R1064+R1061+R1058+R1055+R1052+R1049+R1046+R1043+R1040+R1037</f>
        <v>78350</v>
      </c>
      <c r="S1076" s="7">
        <f t="shared" ref="S1076" si="828">S1073+S1070+S1067+S1064+S1061+S1058+S1055+S1052+S1049+S1046+S1043+S1040+S1037</f>
        <v>69800</v>
      </c>
      <c r="T1076" s="7">
        <f>T1073+T1070+T1067+T1064+T1061+T1058+T1055+T1052+T1049+T1046+T1043+T1040+T1037</f>
        <v>58400</v>
      </c>
      <c r="U1076" s="7">
        <f>U1073+U1070+U1067+U1064+U1061+U1058+U1055+U1052+U1046+U1043+U1040+U1037</f>
        <v>44650</v>
      </c>
      <c r="V1076" s="7">
        <f>V1070+V1061+V1058+V1055+V1052+V1037</f>
        <v>31400</v>
      </c>
      <c r="W1076" s="7">
        <f t="shared" ref="W1076:Y1076" si="829">W1070+W1061+W1058+W1055+W1052+W1037</f>
        <v>24400</v>
      </c>
      <c r="X1076" s="7">
        <f t="shared" si="829"/>
        <v>17400</v>
      </c>
      <c r="Y1076" s="7">
        <f t="shared" si="829"/>
        <v>10400</v>
      </c>
      <c r="Z1076" s="501">
        <f>Z1070+Z1061+Z1058+Z1055+Z1052</f>
        <v>7600</v>
      </c>
      <c r="AA1076" s="540">
        <f>AA1070+AA1058+AA1052</f>
        <v>5000</v>
      </c>
      <c r="AB1076" s="7">
        <f t="shared" ref="AB1076" si="830">AB1070+AB1058+AB1052</f>
        <v>3900</v>
      </c>
      <c r="AC1076" s="7">
        <f t="shared" si="827"/>
        <v>2800</v>
      </c>
      <c r="AD1076" s="7">
        <f t="shared" si="827"/>
        <v>1900</v>
      </c>
      <c r="AE1076" s="7">
        <f t="shared" si="827"/>
        <v>1000</v>
      </c>
      <c r="AF1076" s="20" t="s">
        <v>11</v>
      </c>
      <c r="AG1076" s="20"/>
      <c r="AH1076" s="20"/>
      <c r="AI1076" s="20"/>
      <c r="AJ1076" s="20"/>
      <c r="AK1076" s="20"/>
      <c r="AL1076" s="20"/>
      <c r="AM1076" s="20"/>
      <c r="AN1076" s="20"/>
      <c r="AO1076" s="20"/>
      <c r="AP1076" s="20"/>
      <c r="AQ1076" s="20"/>
      <c r="AR1076" s="20"/>
      <c r="AS1076" s="20"/>
      <c r="AT1076" s="20"/>
    </row>
    <row r="1077" spans="1:46" s="8" customFormat="1" ht="13.8" thickBot="1" x14ac:dyDescent="0.3">
      <c r="A1077" s="122"/>
      <c r="B1077" s="122"/>
      <c r="C1077" s="307"/>
      <c r="D1077" s="85"/>
      <c r="E1077" s="85"/>
      <c r="F1077" s="85"/>
      <c r="G1077" s="85"/>
      <c r="H1077" s="85"/>
      <c r="I1077" s="85"/>
      <c r="J1077" s="44" t="s">
        <v>5</v>
      </c>
      <c r="K1077" s="45">
        <f>K1076+K1075</f>
        <v>2764709.13</v>
      </c>
      <c r="L1077" s="46"/>
      <c r="M1077" s="46"/>
      <c r="N1077" s="46"/>
      <c r="O1077" s="46"/>
      <c r="P1077" s="46"/>
      <c r="Q1077" s="46">
        <f t="shared" ref="Q1077:R1077" si="831">Q1076+Q1075</f>
        <v>377709.13</v>
      </c>
      <c r="R1077" s="46">
        <f t="shared" si="831"/>
        <v>363350</v>
      </c>
      <c r="S1077" s="46">
        <f t="shared" ref="S1077:V1077" si="832">S1076+S1075</f>
        <v>354800</v>
      </c>
      <c r="T1077" s="46">
        <f t="shared" si="832"/>
        <v>333400</v>
      </c>
      <c r="U1077" s="46">
        <f t="shared" si="832"/>
        <v>309650</v>
      </c>
      <c r="V1077" s="46">
        <f t="shared" si="832"/>
        <v>171400</v>
      </c>
      <c r="W1077" s="46">
        <f t="shared" ref="W1077:Z1077" si="833">W1076+W1075</f>
        <v>164400</v>
      </c>
      <c r="X1077" s="46">
        <f t="shared" si="833"/>
        <v>157400</v>
      </c>
      <c r="Y1077" s="46">
        <f t="shared" si="833"/>
        <v>150400</v>
      </c>
      <c r="Z1077" s="503">
        <f t="shared" si="833"/>
        <v>137600</v>
      </c>
      <c r="AA1077" s="542">
        <f t="shared" ref="AA1077:AC1077" si="834">AA1076+AA1075</f>
        <v>60000</v>
      </c>
      <c r="AB1077" s="46">
        <f t="shared" si="834"/>
        <v>58900</v>
      </c>
      <c r="AC1077" s="46">
        <f t="shared" si="834"/>
        <v>42800</v>
      </c>
      <c r="AD1077" s="46">
        <f t="shared" ref="AD1077:AE1077" si="835">AD1076+AD1075</f>
        <v>41900</v>
      </c>
      <c r="AE1077" s="46">
        <f t="shared" si="835"/>
        <v>41000</v>
      </c>
      <c r="AF1077" s="47" t="s">
        <v>11</v>
      </c>
      <c r="AG1077" s="47"/>
      <c r="AH1077" s="47"/>
      <c r="AI1077" s="47"/>
      <c r="AJ1077" s="47"/>
      <c r="AK1077" s="47"/>
      <c r="AL1077" s="47"/>
      <c r="AM1077" s="47"/>
      <c r="AN1077" s="47"/>
      <c r="AO1077" s="47"/>
      <c r="AP1077" s="47"/>
      <c r="AQ1077" s="47"/>
      <c r="AR1077" s="47"/>
      <c r="AS1077" s="47"/>
      <c r="AT1077" s="47"/>
    </row>
    <row r="1078" spans="1:46" s="6" customFormat="1" x14ac:dyDescent="0.25">
      <c r="A1078" s="26" t="s">
        <v>0</v>
      </c>
      <c r="B1078" s="26" t="s">
        <v>96</v>
      </c>
      <c r="C1078" s="306"/>
      <c r="D1078" s="332" t="s">
        <v>0</v>
      </c>
      <c r="E1078" s="24">
        <v>42509</v>
      </c>
      <c r="F1078" s="24" t="s">
        <v>266</v>
      </c>
      <c r="G1078" s="315" t="s">
        <v>113</v>
      </c>
      <c r="H1078" s="315">
        <v>60310267</v>
      </c>
      <c r="I1078" s="315">
        <v>584009</v>
      </c>
      <c r="J1078" s="2" t="s">
        <v>1</v>
      </c>
      <c r="K1078" s="351">
        <v>1000000</v>
      </c>
      <c r="L1078" s="4"/>
      <c r="M1078" s="4"/>
      <c r="N1078" s="4"/>
      <c r="O1078" s="4"/>
      <c r="P1078" s="283"/>
      <c r="Q1078" s="283">
        <v>65000</v>
      </c>
      <c r="R1078" s="283">
        <v>65000</v>
      </c>
      <c r="S1078" s="283">
        <v>65000</v>
      </c>
      <c r="T1078" s="283">
        <v>65000</v>
      </c>
      <c r="U1078" s="283">
        <v>65000</v>
      </c>
      <c r="V1078" s="283">
        <v>65000</v>
      </c>
      <c r="W1078" s="283">
        <v>65000</v>
      </c>
      <c r="X1078" s="283">
        <v>65000</v>
      </c>
      <c r="Y1078" s="283">
        <v>60000</v>
      </c>
      <c r="Z1078" s="497">
        <v>60000</v>
      </c>
      <c r="AA1078" s="536">
        <v>60000</v>
      </c>
      <c r="AB1078" s="283">
        <v>60000</v>
      </c>
      <c r="AC1078" s="283">
        <v>60000</v>
      </c>
      <c r="AD1078" s="283">
        <v>60000</v>
      </c>
      <c r="AE1078" s="283">
        <v>60000</v>
      </c>
      <c r="AF1078" s="283">
        <v>60000</v>
      </c>
      <c r="AG1078" s="2" t="s">
        <v>11</v>
      </c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</row>
    <row r="1079" spans="1:46" s="6" customFormat="1" x14ac:dyDescent="0.25">
      <c r="A1079" s="400" t="s">
        <v>1035</v>
      </c>
      <c r="B1079" s="26"/>
      <c r="C1079" s="306"/>
      <c r="D1079" s="352"/>
      <c r="E1079" s="24" t="s">
        <v>12</v>
      </c>
      <c r="F1079" s="331"/>
      <c r="G1079" s="15" t="s">
        <v>814</v>
      </c>
      <c r="H1079" s="15"/>
      <c r="I1079" s="15"/>
      <c r="J1079" s="17" t="s">
        <v>6</v>
      </c>
      <c r="K1079" s="347">
        <v>243487.78</v>
      </c>
      <c r="L1079" s="11"/>
      <c r="M1079" s="11"/>
      <c r="N1079" s="11"/>
      <c r="O1079" s="11"/>
      <c r="P1079" s="142"/>
      <c r="Q1079" s="142">
        <f>15937.78+16300</f>
        <v>32237.78</v>
      </c>
      <c r="R1079" s="142">
        <f>15650+15650</f>
        <v>31300</v>
      </c>
      <c r="S1079" s="142">
        <f>14675+14675</f>
        <v>29350</v>
      </c>
      <c r="T1079" s="142">
        <f>13375+13375</f>
        <v>26750</v>
      </c>
      <c r="U1079" s="142">
        <f>11750+11750</f>
        <v>23500</v>
      </c>
      <c r="V1079" s="142">
        <f>10125+10125</f>
        <v>20250</v>
      </c>
      <c r="W1079" s="142">
        <f>8500+8500</f>
        <v>17000</v>
      </c>
      <c r="X1079" s="142">
        <f>6875+6875</f>
        <v>13750</v>
      </c>
      <c r="Y1079" s="142">
        <f>5250+5250</f>
        <v>10500</v>
      </c>
      <c r="Z1079" s="500">
        <f>4650+4650</f>
        <v>9300</v>
      </c>
      <c r="AA1079" s="539">
        <f>4050+4050</f>
        <v>8100</v>
      </c>
      <c r="AB1079" s="142">
        <f>3450+3450</f>
        <v>6900</v>
      </c>
      <c r="AC1079" s="142">
        <f>2850+2850</f>
        <v>5700</v>
      </c>
      <c r="AD1079" s="142">
        <f>2175+2175</f>
        <v>4350</v>
      </c>
      <c r="AE1079" s="142">
        <f>1500+1500</f>
        <v>3000</v>
      </c>
      <c r="AF1079" s="142">
        <f>750+750</f>
        <v>1500</v>
      </c>
      <c r="AG1079" s="17" t="s">
        <v>11</v>
      </c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</row>
    <row r="1080" spans="1:46" s="6" customFormat="1" ht="13.8" thickBot="1" x14ac:dyDescent="0.3">
      <c r="A1080" s="409" t="s">
        <v>1115</v>
      </c>
      <c r="B1080" s="120"/>
      <c r="C1080" s="307"/>
      <c r="D1080" s="353"/>
      <c r="E1080" s="88" t="s">
        <v>14</v>
      </c>
      <c r="F1080" s="88" t="s">
        <v>406</v>
      </c>
      <c r="G1080" s="140"/>
      <c r="H1080" s="143"/>
      <c r="I1080" s="143"/>
      <c r="J1080" s="349" t="s">
        <v>5</v>
      </c>
      <c r="K1080" s="350">
        <f>K1079+K1078</f>
        <v>1243487.78</v>
      </c>
      <c r="L1080" s="43"/>
      <c r="M1080" s="43"/>
      <c r="N1080" s="43"/>
      <c r="O1080" s="43"/>
      <c r="P1080" s="43"/>
      <c r="Q1080" s="43">
        <f t="shared" ref="Q1080:AD1080" si="836">Q1079+Q1078</f>
        <v>97237.78</v>
      </c>
      <c r="R1080" s="43">
        <f t="shared" si="836"/>
        <v>96300</v>
      </c>
      <c r="S1080" s="43">
        <f t="shared" si="836"/>
        <v>94350</v>
      </c>
      <c r="T1080" s="43">
        <f t="shared" si="836"/>
        <v>91750</v>
      </c>
      <c r="U1080" s="43">
        <f t="shared" si="836"/>
        <v>88500</v>
      </c>
      <c r="V1080" s="43">
        <f t="shared" si="836"/>
        <v>85250</v>
      </c>
      <c r="W1080" s="43">
        <f t="shared" si="836"/>
        <v>82000</v>
      </c>
      <c r="X1080" s="43">
        <f t="shared" si="836"/>
        <v>78750</v>
      </c>
      <c r="Y1080" s="43">
        <f t="shared" si="836"/>
        <v>70500</v>
      </c>
      <c r="Z1080" s="499">
        <f t="shared" si="836"/>
        <v>69300</v>
      </c>
      <c r="AA1080" s="538">
        <f t="shared" si="836"/>
        <v>68100</v>
      </c>
      <c r="AB1080" s="43">
        <f t="shared" si="836"/>
        <v>66900</v>
      </c>
      <c r="AC1080" s="43">
        <f t="shared" si="836"/>
        <v>65700</v>
      </c>
      <c r="AD1080" s="43">
        <f t="shared" si="836"/>
        <v>64350</v>
      </c>
      <c r="AE1080" s="43">
        <f t="shared" ref="AE1080" si="837">AE1079+AE1078</f>
        <v>63000</v>
      </c>
      <c r="AF1080" s="43">
        <f t="shared" ref="AF1080" si="838">AF1079+AF1078</f>
        <v>61500</v>
      </c>
      <c r="AG1080" s="41" t="s">
        <v>11</v>
      </c>
      <c r="AH1080" s="41"/>
      <c r="AI1080" s="41"/>
      <c r="AJ1080" s="41"/>
      <c r="AK1080" s="41"/>
      <c r="AL1080" s="41"/>
      <c r="AM1080" s="41"/>
      <c r="AN1080" s="41"/>
      <c r="AO1080" s="41"/>
      <c r="AP1080" s="41"/>
      <c r="AQ1080" s="41"/>
      <c r="AR1080" s="41"/>
      <c r="AS1080" s="41"/>
      <c r="AT1080" s="41"/>
    </row>
    <row r="1081" spans="1:46" s="8" customFormat="1" x14ac:dyDescent="0.25">
      <c r="A1081" s="121"/>
      <c r="B1081" s="121"/>
      <c r="C1081" s="306"/>
      <c r="D1081" s="332"/>
      <c r="E1081" s="332"/>
      <c r="F1081" s="332"/>
      <c r="G1081" s="13" t="s">
        <v>33</v>
      </c>
      <c r="H1081" s="13">
        <v>60774119</v>
      </c>
      <c r="I1081" s="13">
        <v>591100</v>
      </c>
      <c r="J1081" s="14" t="s">
        <v>1</v>
      </c>
      <c r="K1081" s="29">
        <f>K1078</f>
        <v>1000000</v>
      </c>
      <c r="L1081" s="7"/>
      <c r="M1081" s="7"/>
      <c r="N1081" s="67"/>
      <c r="O1081" s="67"/>
      <c r="P1081" s="67"/>
      <c r="Q1081" s="67">
        <f>Q1078</f>
        <v>65000</v>
      </c>
      <c r="R1081" s="67">
        <f>R1078</f>
        <v>65000</v>
      </c>
      <c r="S1081" s="67">
        <f t="shared" ref="S1081:AD1081" si="839">S1078</f>
        <v>65000</v>
      </c>
      <c r="T1081" s="67">
        <f t="shared" si="839"/>
        <v>65000</v>
      </c>
      <c r="U1081" s="67">
        <f t="shared" si="839"/>
        <v>65000</v>
      </c>
      <c r="V1081" s="67">
        <f t="shared" si="839"/>
        <v>65000</v>
      </c>
      <c r="W1081" s="67">
        <f t="shared" si="839"/>
        <v>65000</v>
      </c>
      <c r="X1081" s="67">
        <f t="shared" si="839"/>
        <v>65000</v>
      </c>
      <c r="Y1081" s="67">
        <f t="shared" si="839"/>
        <v>60000</v>
      </c>
      <c r="Z1081" s="507">
        <f t="shared" si="839"/>
        <v>60000</v>
      </c>
      <c r="AA1081" s="546">
        <f t="shared" si="839"/>
        <v>60000</v>
      </c>
      <c r="AB1081" s="67">
        <f t="shared" si="839"/>
        <v>60000</v>
      </c>
      <c r="AC1081" s="67">
        <f t="shared" si="839"/>
        <v>60000</v>
      </c>
      <c r="AD1081" s="67">
        <f t="shared" si="839"/>
        <v>60000</v>
      </c>
      <c r="AE1081" s="67">
        <f t="shared" ref="AE1081" si="840">AE1078</f>
        <v>60000</v>
      </c>
      <c r="AF1081" s="67">
        <f t="shared" ref="AF1081" si="841">AF1078</f>
        <v>60000</v>
      </c>
      <c r="AG1081" s="3" t="s">
        <v>11</v>
      </c>
      <c r="AH1081" s="2"/>
      <c r="AI1081" s="2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</row>
    <row r="1082" spans="1:46" s="8" customFormat="1" x14ac:dyDescent="0.25">
      <c r="A1082" s="121"/>
      <c r="B1082" s="121"/>
      <c r="C1082" s="306"/>
      <c r="D1082" s="14"/>
      <c r="E1082" s="14"/>
      <c r="F1082" s="14"/>
      <c r="G1082" s="14"/>
      <c r="H1082" s="13">
        <v>60774119</v>
      </c>
      <c r="I1082" s="14">
        <v>595100</v>
      </c>
      <c r="J1082" s="18" t="s">
        <v>2</v>
      </c>
      <c r="K1082" s="30">
        <f>K1079</f>
        <v>243487.78</v>
      </c>
      <c r="L1082" s="16"/>
      <c r="M1082" s="16"/>
      <c r="N1082" s="16"/>
      <c r="O1082" s="16"/>
      <c r="P1082" s="16"/>
      <c r="Q1082" s="16">
        <f>Q1079</f>
        <v>32237.78</v>
      </c>
      <c r="R1082" s="16">
        <f>R1079</f>
        <v>31300</v>
      </c>
      <c r="S1082" s="16">
        <f t="shared" ref="S1082:AD1082" si="842">S1079</f>
        <v>29350</v>
      </c>
      <c r="T1082" s="16">
        <f t="shared" si="842"/>
        <v>26750</v>
      </c>
      <c r="U1082" s="16">
        <f t="shared" si="842"/>
        <v>23500</v>
      </c>
      <c r="V1082" s="16">
        <f t="shared" si="842"/>
        <v>20250</v>
      </c>
      <c r="W1082" s="16">
        <f t="shared" si="842"/>
        <v>17000</v>
      </c>
      <c r="X1082" s="16">
        <f t="shared" si="842"/>
        <v>13750</v>
      </c>
      <c r="Y1082" s="16">
        <f t="shared" si="842"/>
        <v>10500</v>
      </c>
      <c r="Z1082" s="502">
        <f t="shared" si="842"/>
        <v>9300</v>
      </c>
      <c r="AA1082" s="541">
        <f t="shared" si="842"/>
        <v>8100</v>
      </c>
      <c r="AB1082" s="16">
        <f t="shared" si="842"/>
        <v>6900</v>
      </c>
      <c r="AC1082" s="16">
        <f t="shared" si="842"/>
        <v>5700</v>
      </c>
      <c r="AD1082" s="16">
        <f t="shared" si="842"/>
        <v>4350</v>
      </c>
      <c r="AE1082" s="16">
        <f t="shared" ref="AE1082" si="843">AE1079</f>
        <v>3000</v>
      </c>
      <c r="AF1082" s="16">
        <f t="shared" ref="AF1082" si="844">AF1079</f>
        <v>1500</v>
      </c>
      <c r="AG1082" s="20" t="s">
        <v>11</v>
      </c>
      <c r="AH1082" s="17"/>
      <c r="AI1082" s="17"/>
      <c r="AJ1082" s="20"/>
      <c r="AK1082" s="20"/>
      <c r="AL1082" s="20"/>
      <c r="AM1082" s="20"/>
      <c r="AN1082" s="20"/>
      <c r="AO1082" s="20"/>
      <c r="AP1082" s="20"/>
      <c r="AQ1082" s="20"/>
      <c r="AR1082" s="20"/>
      <c r="AS1082" s="20"/>
      <c r="AT1082" s="20"/>
    </row>
    <row r="1083" spans="1:46" s="8" customFormat="1" ht="13.8" thickBot="1" x14ac:dyDescent="0.3">
      <c r="A1083" s="122"/>
      <c r="B1083" s="122"/>
      <c r="C1083" s="307"/>
      <c r="D1083" s="87"/>
      <c r="E1083" s="87"/>
      <c r="F1083" s="87"/>
      <c r="G1083" s="87"/>
      <c r="H1083" s="87"/>
      <c r="I1083" s="87"/>
      <c r="J1083" s="50" t="s">
        <v>5</v>
      </c>
      <c r="K1083" s="51">
        <f>K1082+K1081</f>
        <v>1243487.78</v>
      </c>
      <c r="L1083" s="46"/>
      <c r="M1083" s="46"/>
      <c r="N1083" s="46"/>
      <c r="O1083" s="46"/>
      <c r="P1083" s="46"/>
      <c r="Q1083" s="46">
        <f t="shared" ref="Q1083:R1083" si="845">Q1082+Q1081</f>
        <v>97237.78</v>
      </c>
      <c r="R1083" s="46">
        <f t="shared" si="845"/>
        <v>96300</v>
      </c>
      <c r="S1083" s="46">
        <f t="shared" ref="S1083:AD1083" si="846">S1082+S1081</f>
        <v>94350</v>
      </c>
      <c r="T1083" s="46">
        <f t="shared" si="846"/>
        <v>91750</v>
      </c>
      <c r="U1083" s="46">
        <f t="shared" si="846"/>
        <v>88500</v>
      </c>
      <c r="V1083" s="46">
        <f t="shared" si="846"/>
        <v>85250</v>
      </c>
      <c r="W1083" s="46">
        <f t="shared" si="846"/>
        <v>82000</v>
      </c>
      <c r="X1083" s="46">
        <f t="shared" si="846"/>
        <v>78750</v>
      </c>
      <c r="Y1083" s="46">
        <f t="shared" si="846"/>
        <v>70500</v>
      </c>
      <c r="Z1083" s="503">
        <f t="shared" si="846"/>
        <v>69300</v>
      </c>
      <c r="AA1083" s="542">
        <f t="shared" si="846"/>
        <v>68100</v>
      </c>
      <c r="AB1083" s="46">
        <f t="shared" si="846"/>
        <v>66900</v>
      </c>
      <c r="AC1083" s="46">
        <f t="shared" si="846"/>
        <v>65700</v>
      </c>
      <c r="AD1083" s="46">
        <f t="shared" si="846"/>
        <v>64350</v>
      </c>
      <c r="AE1083" s="46">
        <f t="shared" ref="AE1083" si="847">AE1082+AE1081</f>
        <v>63000</v>
      </c>
      <c r="AF1083" s="46">
        <f t="shared" ref="AF1083" si="848">AF1082+AF1081</f>
        <v>61500</v>
      </c>
      <c r="AG1083" s="47" t="s">
        <v>11</v>
      </c>
      <c r="AH1083" s="41"/>
      <c r="AI1083" s="41"/>
      <c r="AJ1083" s="47"/>
      <c r="AK1083" s="47"/>
      <c r="AL1083" s="47"/>
      <c r="AM1083" s="47"/>
      <c r="AN1083" s="47"/>
      <c r="AO1083" s="47"/>
      <c r="AP1083" s="47"/>
      <c r="AQ1083" s="47"/>
      <c r="AR1083" s="47"/>
      <c r="AS1083" s="47"/>
      <c r="AT1083" s="47"/>
    </row>
    <row r="1084" spans="1:46" s="6" customFormat="1" x14ac:dyDescent="0.25">
      <c r="A1084" s="26" t="s">
        <v>4</v>
      </c>
      <c r="B1084" s="26" t="s">
        <v>97</v>
      </c>
      <c r="C1084" s="306"/>
      <c r="D1084" s="10" t="s">
        <v>4</v>
      </c>
      <c r="E1084" s="25">
        <v>42509</v>
      </c>
      <c r="F1084" s="25" t="s">
        <v>267</v>
      </c>
      <c r="G1084" s="316" t="s">
        <v>794</v>
      </c>
      <c r="H1084" s="316">
        <v>61310267</v>
      </c>
      <c r="I1084" s="316">
        <v>586100</v>
      </c>
      <c r="J1084" s="2" t="s">
        <v>1</v>
      </c>
      <c r="K1084" s="27">
        <v>1325000</v>
      </c>
      <c r="L1084" s="4"/>
      <c r="M1084" s="4"/>
      <c r="N1084" s="4"/>
      <c r="O1084" s="4"/>
      <c r="P1084" s="283"/>
      <c r="Q1084" s="283">
        <v>85000</v>
      </c>
      <c r="R1084" s="283">
        <v>85000</v>
      </c>
      <c r="S1084" s="283">
        <v>85000</v>
      </c>
      <c r="T1084" s="283">
        <v>85000</v>
      </c>
      <c r="U1084" s="283">
        <v>85000</v>
      </c>
      <c r="V1084" s="283">
        <v>85000</v>
      </c>
      <c r="W1084" s="283">
        <v>85000</v>
      </c>
      <c r="X1084" s="283">
        <v>85000</v>
      </c>
      <c r="Y1084" s="283">
        <v>85000</v>
      </c>
      <c r="Z1084" s="497">
        <v>80000</v>
      </c>
      <c r="AA1084" s="536">
        <v>80000</v>
      </c>
      <c r="AB1084" s="283">
        <v>80000</v>
      </c>
      <c r="AC1084" s="283">
        <v>80000</v>
      </c>
      <c r="AD1084" s="283">
        <v>80000</v>
      </c>
      <c r="AE1084" s="283">
        <v>80000</v>
      </c>
      <c r="AF1084" s="283">
        <v>80000</v>
      </c>
      <c r="AG1084" s="2" t="s">
        <v>11</v>
      </c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</row>
    <row r="1085" spans="1:46" s="6" customFormat="1" x14ac:dyDescent="0.25">
      <c r="A1085" s="400" t="s">
        <v>1036</v>
      </c>
      <c r="B1085" s="26"/>
      <c r="C1085" s="306"/>
      <c r="D1085" s="84"/>
      <c r="E1085" s="317" t="s">
        <v>13</v>
      </c>
      <c r="F1085" s="25"/>
      <c r="G1085" s="12" t="s">
        <v>813</v>
      </c>
      <c r="H1085" s="12"/>
      <c r="I1085" s="354"/>
      <c r="J1085" s="17" t="s">
        <v>2</v>
      </c>
      <c r="K1085" s="28">
        <v>322722.21999999997</v>
      </c>
      <c r="L1085" s="11"/>
      <c r="M1085" s="11"/>
      <c r="N1085" s="11"/>
      <c r="O1085" s="11"/>
      <c r="P1085" s="142"/>
      <c r="Q1085" s="142">
        <f>21022.22+21500</f>
        <v>42522.22</v>
      </c>
      <c r="R1085" s="142">
        <f>20650+20650</f>
        <v>41300</v>
      </c>
      <c r="S1085" s="142">
        <f>19375+19375</f>
        <v>38750</v>
      </c>
      <c r="T1085" s="142">
        <f>17675+17675</f>
        <v>35350</v>
      </c>
      <c r="U1085" s="142">
        <f>15550+15550</f>
        <v>31100</v>
      </c>
      <c r="V1085" s="142">
        <f>13425+13425</f>
        <v>26850</v>
      </c>
      <c r="W1085" s="142">
        <f>11300+11300</f>
        <v>22600</v>
      </c>
      <c r="X1085" s="142">
        <f>9175+9175</f>
        <v>18350</v>
      </c>
      <c r="Y1085" s="142">
        <f>7050+7050</f>
        <v>14100</v>
      </c>
      <c r="Z1085" s="500">
        <f>6200+6200</f>
        <v>12400</v>
      </c>
      <c r="AA1085" s="539">
        <f>5400+5400</f>
        <v>10800</v>
      </c>
      <c r="AB1085" s="142">
        <f>4600+4600</f>
        <v>9200</v>
      </c>
      <c r="AC1085" s="142">
        <f>3800+3800</f>
        <v>7600</v>
      </c>
      <c r="AD1085" s="142">
        <f>2900+2900</f>
        <v>5800</v>
      </c>
      <c r="AE1085" s="142">
        <f>2000+2000</f>
        <v>4000</v>
      </c>
      <c r="AF1085" s="142">
        <f>1000+1000</f>
        <v>2000</v>
      </c>
      <c r="AG1085" s="17" t="s">
        <v>11</v>
      </c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7"/>
    </row>
    <row r="1086" spans="1:46" s="6" customFormat="1" ht="13.8" thickBot="1" x14ac:dyDescent="0.3">
      <c r="A1086" s="409" t="s">
        <v>1115</v>
      </c>
      <c r="B1086" s="120"/>
      <c r="C1086" s="307"/>
      <c r="D1086" s="89"/>
      <c r="E1086" s="90" t="s">
        <v>16</v>
      </c>
      <c r="F1086" s="90" t="s">
        <v>407</v>
      </c>
      <c r="G1086" s="355"/>
      <c r="H1086" s="124"/>
      <c r="I1086" s="124"/>
      <c r="J1086" s="41" t="s">
        <v>6</v>
      </c>
      <c r="K1086" s="42">
        <f>K1085+K1084</f>
        <v>1647722.22</v>
      </c>
      <c r="L1086" s="43"/>
      <c r="M1086" s="43"/>
      <c r="N1086" s="43"/>
      <c r="O1086" s="43"/>
      <c r="P1086" s="43"/>
      <c r="Q1086" s="43">
        <f t="shared" ref="Q1086:AE1086" si="849">Q1085+Q1084</f>
        <v>127522.22</v>
      </c>
      <c r="R1086" s="43">
        <f t="shared" si="849"/>
        <v>126300</v>
      </c>
      <c r="S1086" s="43">
        <f t="shared" si="849"/>
        <v>123750</v>
      </c>
      <c r="T1086" s="43">
        <f t="shared" si="849"/>
        <v>120350</v>
      </c>
      <c r="U1086" s="43">
        <f t="shared" si="849"/>
        <v>116100</v>
      </c>
      <c r="V1086" s="43">
        <f t="shared" si="849"/>
        <v>111850</v>
      </c>
      <c r="W1086" s="43">
        <f t="shared" si="849"/>
        <v>107600</v>
      </c>
      <c r="X1086" s="43">
        <f t="shared" si="849"/>
        <v>103350</v>
      </c>
      <c r="Y1086" s="43">
        <f t="shared" si="849"/>
        <v>99100</v>
      </c>
      <c r="Z1086" s="499">
        <f t="shared" si="849"/>
        <v>92400</v>
      </c>
      <c r="AA1086" s="538">
        <f t="shared" si="849"/>
        <v>90800</v>
      </c>
      <c r="AB1086" s="43">
        <f t="shared" si="849"/>
        <v>89200</v>
      </c>
      <c r="AC1086" s="43">
        <f t="shared" si="849"/>
        <v>87600</v>
      </c>
      <c r="AD1086" s="43">
        <f t="shared" si="849"/>
        <v>85800</v>
      </c>
      <c r="AE1086" s="43">
        <f t="shared" si="849"/>
        <v>84000</v>
      </c>
      <c r="AF1086" s="43">
        <f t="shared" ref="AF1086" si="850">AF1085+AF1084</f>
        <v>82000</v>
      </c>
      <c r="AG1086" s="41" t="s">
        <v>11</v>
      </c>
      <c r="AH1086" s="41"/>
      <c r="AI1086" s="41"/>
      <c r="AJ1086" s="41"/>
      <c r="AK1086" s="41"/>
      <c r="AL1086" s="41"/>
      <c r="AM1086" s="41"/>
      <c r="AN1086" s="41"/>
      <c r="AO1086" s="41"/>
      <c r="AP1086" s="41"/>
      <c r="AQ1086" s="41"/>
      <c r="AR1086" s="41"/>
      <c r="AS1086" s="41"/>
      <c r="AT1086" s="41"/>
    </row>
    <row r="1087" spans="1:46" s="8" customFormat="1" x14ac:dyDescent="0.25">
      <c r="A1087" s="121"/>
      <c r="B1087" s="121"/>
      <c r="C1087" s="306"/>
      <c r="D1087" s="55"/>
      <c r="E1087" s="55"/>
      <c r="F1087" s="55"/>
      <c r="G1087" s="9" t="s">
        <v>7</v>
      </c>
      <c r="H1087" s="9">
        <v>61774119</v>
      </c>
      <c r="I1087" s="9">
        <v>591100</v>
      </c>
      <c r="J1087" s="10" t="s">
        <v>1</v>
      </c>
      <c r="K1087" s="31">
        <f>K1084</f>
        <v>1325000</v>
      </c>
      <c r="L1087" s="7"/>
      <c r="M1087" s="7"/>
      <c r="N1087" s="67"/>
      <c r="O1087" s="67"/>
      <c r="P1087" s="67"/>
      <c r="Q1087" s="67">
        <f>Q1084</f>
        <v>85000</v>
      </c>
      <c r="R1087" s="67">
        <f>R1084</f>
        <v>85000</v>
      </c>
      <c r="S1087" s="67">
        <f t="shared" ref="S1087:AE1087" si="851">S1084</f>
        <v>85000</v>
      </c>
      <c r="T1087" s="67">
        <f t="shared" si="851"/>
        <v>85000</v>
      </c>
      <c r="U1087" s="67">
        <f t="shared" si="851"/>
        <v>85000</v>
      </c>
      <c r="V1087" s="67">
        <f t="shared" si="851"/>
        <v>85000</v>
      </c>
      <c r="W1087" s="67">
        <f t="shared" si="851"/>
        <v>85000</v>
      </c>
      <c r="X1087" s="67">
        <f t="shared" si="851"/>
        <v>85000</v>
      </c>
      <c r="Y1087" s="67">
        <f t="shared" si="851"/>
        <v>85000</v>
      </c>
      <c r="Z1087" s="507">
        <f t="shared" si="851"/>
        <v>80000</v>
      </c>
      <c r="AA1087" s="546">
        <f t="shared" si="851"/>
        <v>80000</v>
      </c>
      <c r="AB1087" s="67">
        <f t="shared" si="851"/>
        <v>80000</v>
      </c>
      <c r="AC1087" s="67">
        <f t="shared" si="851"/>
        <v>80000</v>
      </c>
      <c r="AD1087" s="67">
        <f t="shared" si="851"/>
        <v>80000</v>
      </c>
      <c r="AE1087" s="67">
        <f t="shared" si="851"/>
        <v>80000</v>
      </c>
      <c r="AF1087" s="67">
        <f t="shared" ref="AF1087" si="852">AF1084</f>
        <v>80000</v>
      </c>
      <c r="AG1087" s="3" t="s">
        <v>11</v>
      </c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</row>
    <row r="1088" spans="1:46" s="8" customFormat="1" x14ac:dyDescent="0.25">
      <c r="A1088" s="121"/>
      <c r="B1088" s="121"/>
      <c r="C1088" s="306"/>
      <c r="D1088" s="10"/>
      <c r="E1088" s="10"/>
      <c r="F1088" s="10"/>
      <c r="G1088" s="10"/>
      <c r="H1088" s="9">
        <v>61774119</v>
      </c>
      <c r="I1088" s="10">
        <v>595100</v>
      </c>
      <c r="J1088" s="19" t="s">
        <v>2</v>
      </c>
      <c r="K1088" s="31">
        <f>K1085</f>
        <v>322722.21999999997</v>
      </c>
      <c r="L1088" s="16"/>
      <c r="M1088" s="16"/>
      <c r="N1088" s="16"/>
      <c r="O1088" s="16"/>
      <c r="P1088" s="16"/>
      <c r="Q1088" s="16">
        <f>Q1085</f>
        <v>42522.22</v>
      </c>
      <c r="R1088" s="16">
        <f>R1085</f>
        <v>41300</v>
      </c>
      <c r="S1088" s="16">
        <f t="shared" ref="S1088:AE1088" si="853">S1085</f>
        <v>38750</v>
      </c>
      <c r="T1088" s="16">
        <f t="shared" si="853"/>
        <v>35350</v>
      </c>
      <c r="U1088" s="16">
        <f t="shared" si="853"/>
        <v>31100</v>
      </c>
      <c r="V1088" s="16">
        <f t="shared" si="853"/>
        <v>26850</v>
      </c>
      <c r="W1088" s="16">
        <f t="shared" si="853"/>
        <v>22600</v>
      </c>
      <c r="X1088" s="16">
        <f t="shared" si="853"/>
        <v>18350</v>
      </c>
      <c r="Y1088" s="16">
        <f t="shared" si="853"/>
        <v>14100</v>
      </c>
      <c r="Z1088" s="502">
        <f t="shared" si="853"/>
        <v>12400</v>
      </c>
      <c r="AA1088" s="541">
        <f t="shared" si="853"/>
        <v>10800</v>
      </c>
      <c r="AB1088" s="16">
        <f t="shared" si="853"/>
        <v>9200</v>
      </c>
      <c r="AC1088" s="16">
        <f t="shared" si="853"/>
        <v>7600</v>
      </c>
      <c r="AD1088" s="16">
        <f t="shared" si="853"/>
        <v>5800</v>
      </c>
      <c r="AE1088" s="16">
        <f t="shared" si="853"/>
        <v>4000</v>
      </c>
      <c r="AF1088" s="16">
        <f t="shared" ref="AF1088" si="854">AF1085</f>
        <v>2000</v>
      </c>
      <c r="AG1088" s="20" t="s">
        <v>11</v>
      </c>
      <c r="AH1088" s="20"/>
      <c r="AI1088" s="20"/>
      <c r="AJ1088" s="20"/>
      <c r="AK1088" s="20"/>
      <c r="AL1088" s="20"/>
      <c r="AM1088" s="20"/>
      <c r="AN1088" s="20"/>
      <c r="AO1088" s="20"/>
      <c r="AP1088" s="20"/>
      <c r="AQ1088" s="20"/>
      <c r="AR1088" s="20"/>
      <c r="AS1088" s="20"/>
      <c r="AT1088" s="20"/>
    </row>
    <row r="1089" spans="1:46" s="8" customFormat="1" ht="13.8" thickBot="1" x14ac:dyDescent="0.3">
      <c r="A1089" s="122"/>
      <c r="B1089" s="122"/>
      <c r="C1089" s="307"/>
      <c r="D1089" s="91"/>
      <c r="E1089" s="91"/>
      <c r="F1089" s="91"/>
      <c r="G1089" s="91"/>
      <c r="H1089" s="91"/>
      <c r="I1089" s="91"/>
      <c r="J1089" s="52" t="s">
        <v>5</v>
      </c>
      <c r="K1089" s="53">
        <f>K1088+K1087</f>
        <v>1647722.22</v>
      </c>
      <c r="L1089" s="46"/>
      <c r="M1089" s="46"/>
      <c r="N1089" s="46"/>
      <c r="O1089" s="46"/>
      <c r="P1089" s="46"/>
      <c r="Q1089" s="46">
        <f>Q1088+Q1087</f>
        <v>127522.22</v>
      </c>
      <c r="R1089" s="46">
        <f t="shared" ref="R1089" si="855">R1088+R1087</f>
        <v>126300</v>
      </c>
      <c r="S1089" s="46">
        <f t="shared" ref="S1089:AE1089" si="856">S1088+S1087</f>
        <v>123750</v>
      </c>
      <c r="T1089" s="46">
        <f t="shared" si="856"/>
        <v>120350</v>
      </c>
      <c r="U1089" s="46">
        <f t="shared" si="856"/>
        <v>116100</v>
      </c>
      <c r="V1089" s="46">
        <f t="shared" si="856"/>
        <v>111850</v>
      </c>
      <c r="W1089" s="46">
        <f t="shared" si="856"/>
        <v>107600</v>
      </c>
      <c r="X1089" s="46">
        <f t="shared" si="856"/>
        <v>103350</v>
      </c>
      <c r="Y1089" s="46">
        <f t="shared" si="856"/>
        <v>99100</v>
      </c>
      <c r="Z1089" s="503">
        <f t="shared" si="856"/>
        <v>92400</v>
      </c>
      <c r="AA1089" s="542">
        <f t="shared" si="856"/>
        <v>90800</v>
      </c>
      <c r="AB1089" s="46">
        <f t="shared" si="856"/>
        <v>89200</v>
      </c>
      <c r="AC1089" s="46">
        <f t="shared" si="856"/>
        <v>87600</v>
      </c>
      <c r="AD1089" s="46">
        <f t="shared" si="856"/>
        <v>85800</v>
      </c>
      <c r="AE1089" s="46">
        <f t="shared" si="856"/>
        <v>84000</v>
      </c>
      <c r="AF1089" s="46">
        <f t="shared" ref="AF1089" si="857">AF1088+AF1087</f>
        <v>82000</v>
      </c>
      <c r="AG1089" s="47" t="s">
        <v>11</v>
      </c>
      <c r="AH1089" s="47"/>
      <c r="AI1089" s="47"/>
      <c r="AJ1089" s="47"/>
      <c r="AK1089" s="47"/>
      <c r="AL1089" s="47"/>
      <c r="AM1089" s="47"/>
      <c r="AN1089" s="47"/>
      <c r="AO1089" s="47"/>
      <c r="AP1089" s="47"/>
      <c r="AQ1089" s="47"/>
      <c r="AR1089" s="47"/>
      <c r="AS1089" s="47"/>
      <c r="AT1089" s="47"/>
    </row>
    <row r="1090" spans="1:46" s="3" customFormat="1" x14ac:dyDescent="0.25">
      <c r="A1090" s="121"/>
      <c r="B1090" s="121"/>
      <c r="C1090" s="306"/>
      <c r="D1090" s="102"/>
      <c r="E1090" s="285"/>
      <c r="F1090" s="102"/>
      <c r="G1090" s="103" t="s">
        <v>812</v>
      </c>
      <c r="H1090" s="103"/>
      <c r="I1090" s="103"/>
      <c r="J1090" s="104" t="s">
        <v>1</v>
      </c>
      <c r="K1090" s="105">
        <f>K1087+K1081+K1075</f>
        <v>4649407</v>
      </c>
      <c r="L1090" s="7"/>
      <c r="M1090" s="7"/>
      <c r="N1090" s="67"/>
      <c r="O1090" s="67"/>
      <c r="P1090" s="67"/>
      <c r="Q1090" s="67">
        <f t="shared" ref="Q1090:AE1090" si="858">Q1087+Q1081+Q1075</f>
        <v>444407</v>
      </c>
      <c r="R1090" s="67">
        <f t="shared" si="858"/>
        <v>435000</v>
      </c>
      <c r="S1090" s="67">
        <f t="shared" si="858"/>
        <v>435000</v>
      </c>
      <c r="T1090" s="67">
        <f t="shared" si="858"/>
        <v>425000</v>
      </c>
      <c r="U1090" s="67">
        <f t="shared" si="858"/>
        <v>415000</v>
      </c>
      <c r="V1090" s="67">
        <f t="shared" si="858"/>
        <v>290000</v>
      </c>
      <c r="W1090" s="67">
        <f t="shared" si="858"/>
        <v>290000</v>
      </c>
      <c r="X1090" s="67">
        <f t="shared" si="858"/>
        <v>290000</v>
      </c>
      <c r="Y1090" s="67">
        <f t="shared" si="858"/>
        <v>285000</v>
      </c>
      <c r="Z1090" s="507">
        <f t="shared" si="858"/>
        <v>270000</v>
      </c>
      <c r="AA1090" s="546">
        <f t="shared" si="858"/>
        <v>195000</v>
      </c>
      <c r="AB1090" s="67">
        <f t="shared" si="858"/>
        <v>195000</v>
      </c>
      <c r="AC1090" s="67">
        <f t="shared" si="858"/>
        <v>180000</v>
      </c>
      <c r="AD1090" s="67">
        <f t="shared" si="858"/>
        <v>180000</v>
      </c>
      <c r="AE1090" s="67">
        <f t="shared" si="858"/>
        <v>180000</v>
      </c>
      <c r="AF1090" s="67">
        <f>AF1087+AF1081</f>
        <v>140000</v>
      </c>
      <c r="AG1090" s="3" t="s">
        <v>11</v>
      </c>
    </row>
    <row r="1091" spans="1:46" s="3" customFormat="1" ht="13.8" thickBot="1" x14ac:dyDescent="0.3">
      <c r="A1091" s="121"/>
      <c r="B1091" s="121"/>
      <c r="C1091" s="306"/>
      <c r="D1091" s="104"/>
      <c r="E1091" s="285" t="s">
        <v>836</v>
      </c>
      <c r="F1091" s="104"/>
      <c r="G1091" s="103"/>
      <c r="H1091" s="103"/>
      <c r="I1091" s="103"/>
      <c r="J1091" s="106" t="s">
        <v>2</v>
      </c>
      <c r="K1091" s="107">
        <f>K1088+K1082+K1076</f>
        <v>1006512.1300000001</v>
      </c>
      <c r="L1091" s="22"/>
      <c r="M1091" s="22"/>
      <c r="N1091" s="22"/>
      <c r="O1091" s="22"/>
      <c r="P1091" s="22"/>
      <c r="Q1091" s="22">
        <f t="shared" ref="Q1091:AE1091" si="859">Q1088+Q1082+Q1076</f>
        <v>158062.13</v>
      </c>
      <c r="R1091" s="22">
        <f t="shared" si="859"/>
        <v>150950</v>
      </c>
      <c r="S1091" s="22">
        <f t="shared" si="859"/>
        <v>137900</v>
      </c>
      <c r="T1091" s="22">
        <f t="shared" si="859"/>
        <v>120500</v>
      </c>
      <c r="U1091" s="22">
        <f t="shared" si="859"/>
        <v>99250</v>
      </c>
      <c r="V1091" s="22">
        <f t="shared" si="859"/>
        <v>78500</v>
      </c>
      <c r="W1091" s="22">
        <f t="shared" si="859"/>
        <v>64000</v>
      </c>
      <c r="X1091" s="22">
        <f t="shared" si="859"/>
        <v>49500</v>
      </c>
      <c r="Y1091" s="22">
        <f t="shared" si="859"/>
        <v>35000</v>
      </c>
      <c r="Z1091" s="506">
        <f t="shared" si="859"/>
        <v>29300</v>
      </c>
      <c r="AA1091" s="545">
        <f t="shared" si="859"/>
        <v>23900</v>
      </c>
      <c r="AB1091" s="22">
        <f t="shared" si="859"/>
        <v>20000</v>
      </c>
      <c r="AC1091" s="22">
        <f t="shared" si="859"/>
        <v>16100</v>
      </c>
      <c r="AD1091" s="22">
        <f t="shared" si="859"/>
        <v>12050</v>
      </c>
      <c r="AE1091" s="22">
        <f t="shared" si="859"/>
        <v>8000</v>
      </c>
      <c r="AF1091" s="22">
        <f>AF1088+AF1082</f>
        <v>3500</v>
      </c>
      <c r="AG1091" s="23" t="s">
        <v>11</v>
      </c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</row>
    <row r="1092" spans="1:46" s="6" customFormat="1" x14ac:dyDescent="0.25">
      <c r="A1092" s="26"/>
      <c r="B1092" s="26"/>
      <c r="C1092" s="306"/>
      <c r="D1092" s="108"/>
      <c r="E1092" s="286" t="s">
        <v>837</v>
      </c>
      <c r="F1092" s="108"/>
      <c r="G1092" s="287" t="s">
        <v>838</v>
      </c>
      <c r="H1092" s="103"/>
      <c r="I1092" s="103"/>
      <c r="J1092" s="109" t="s">
        <v>5</v>
      </c>
      <c r="K1092" s="110">
        <f>K1091+K1090</f>
        <v>5655919.1299999999</v>
      </c>
      <c r="L1092" s="67"/>
      <c r="M1092" s="67"/>
      <c r="N1092" s="282"/>
      <c r="O1092" s="282"/>
      <c r="P1092" s="282"/>
      <c r="Q1092" s="282">
        <f t="shared" ref="Q1092:AD1092" si="860">Q1091+Q1090</f>
        <v>602469.13</v>
      </c>
      <c r="R1092" s="282">
        <f t="shared" si="860"/>
        <v>585950</v>
      </c>
      <c r="S1092" s="282">
        <f t="shared" si="860"/>
        <v>572900</v>
      </c>
      <c r="T1092" s="282">
        <f t="shared" si="860"/>
        <v>545500</v>
      </c>
      <c r="U1092" s="282">
        <f t="shared" si="860"/>
        <v>514250</v>
      </c>
      <c r="V1092" s="282">
        <f t="shared" si="860"/>
        <v>368500</v>
      </c>
      <c r="W1092" s="282">
        <f t="shared" si="860"/>
        <v>354000</v>
      </c>
      <c r="X1092" s="282">
        <f t="shared" si="860"/>
        <v>339500</v>
      </c>
      <c r="Y1092" s="282">
        <f t="shared" si="860"/>
        <v>320000</v>
      </c>
      <c r="Z1092" s="508">
        <f t="shared" si="860"/>
        <v>299300</v>
      </c>
      <c r="AA1092" s="551">
        <f t="shared" si="860"/>
        <v>218900</v>
      </c>
      <c r="AB1092" s="282">
        <f t="shared" si="860"/>
        <v>215000</v>
      </c>
      <c r="AC1092" s="282">
        <f t="shared" si="860"/>
        <v>196100</v>
      </c>
      <c r="AD1092" s="282">
        <f t="shared" si="860"/>
        <v>192050</v>
      </c>
      <c r="AE1092" s="282">
        <f t="shared" ref="AE1092" si="861">AE1091+AE1090</f>
        <v>188000</v>
      </c>
      <c r="AF1092" s="282">
        <f t="shared" ref="AF1092" si="862">AF1091+AF1090</f>
        <v>143500</v>
      </c>
      <c r="AG1092" s="134" t="s">
        <v>11</v>
      </c>
      <c r="AH1092" s="69"/>
      <c r="AI1092" s="69"/>
      <c r="AJ1092" s="69"/>
      <c r="AK1092" s="69"/>
      <c r="AL1092" s="69"/>
      <c r="AM1092" s="69"/>
      <c r="AN1092" s="69"/>
      <c r="AO1092" s="69"/>
      <c r="AP1092" s="69"/>
      <c r="AQ1092" s="69"/>
      <c r="AR1092" s="69"/>
      <c r="AS1092" s="69"/>
      <c r="AT1092" s="69"/>
    </row>
    <row r="1093" spans="1:46" s="2" customFormat="1" x14ac:dyDescent="0.25">
      <c r="A1093" s="119"/>
      <c r="B1093" s="119"/>
      <c r="C1093" s="308"/>
      <c r="D1093" s="49"/>
      <c r="E1093" s="49"/>
      <c r="F1093" s="49"/>
      <c r="G1093" s="128" t="s">
        <v>852</v>
      </c>
      <c r="H1093" s="128"/>
      <c r="I1093" s="128"/>
      <c r="J1093" s="48"/>
      <c r="K1093" s="96"/>
      <c r="L1093" s="97"/>
      <c r="M1093" s="97"/>
      <c r="N1093" s="97"/>
      <c r="O1093" s="97"/>
      <c r="P1093" s="98"/>
      <c r="Q1093" s="98"/>
      <c r="R1093" s="98"/>
      <c r="S1093" s="98"/>
      <c r="T1093" s="98"/>
      <c r="U1093" s="48"/>
      <c r="V1093" s="48"/>
      <c r="W1093" s="48"/>
      <c r="X1093" s="48"/>
      <c r="Y1093" s="48"/>
      <c r="Z1093" s="48"/>
      <c r="AA1093" s="48"/>
      <c r="AB1093" s="48"/>
      <c r="AC1093" s="48"/>
      <c r="AD1093" s="48"/>
      <c r="AE1093" s="48"/>
      <c r="AF1093" s="48"/>
      <c r="AG1093" s="48"/>
      <c r="AH1093" s="48"/>
      <c r="AI1093" s="48"/>
      <c r="AJ1093" s="48"/>
      <c r="AK1093" s="48"/>
      <c r="AL1093" s="48"/>
      <c r="AM1093" s="48"/>
      <c r="AN1093" s="48"/>
      <c r="AO1093" s="48"/>
      <c r="AP1093" s="48"/>
      <c r="AQ1093" s="48"/>
      <c r="AR1093" s="48"/>
      <c r="AS1093" s="48"/>
      <c r="AT1093" s="48"/>
    </row>
    <row r="1094" spans="1:46" s="2" customFormat="1" x14ac:dyDescent="0.25">
      <c r="A1094" s="26" t="s">
        <v>102</v>
      </c>
      <c r="B1094" s="26" t="s">
        <v>96</v>
      </c>
      <c r="C1094" s="306"/>
      <c r="D1094" s="54" t="s">
        <v>3</v>
      </c>
      <c r="E1094" s="284">
        <v>42836</v>
      </c>
      <c r="F1094" s="377" t="s">
        <v>259</v>
      </c>
      <c r="G1094" s="314" t="s">
        <v>856</v>
      </c>
      <c r="H1094" s="314">
        <v>31122271</v>
      </c>
      <c r="I1094" s="314">
        <v>585002</v>
      </c>
      <c r="J1094" s="2" t="s">
        <v>1</v>
      </c>
      <c r="K1094" s="27">
        <v>160000</v>
      </c>
      <c r="L1094" s="5"/>
      <c r="M1094" s="4"/>
      <c r="N1094" s="4"/>
      <c r="O1094" s="4"/>
      <c r="P1094" s="283"/>
      <c r="Q1094" s="283"/>
      <c r="R1094" s="283">
        <v>20000</v>
      </c>
      <c r="S1094" s="283">
        <v>20000</v>
      </c>
      <c r="T1094" s="283">
        <v>15000</v>
      </c>
      <c r="U1094" s="283">
        <v>15000</v>
      </c>
      <c r="V1094" s="283">
        <v>15000</v>
      </c>
      <c r="W1094" s="283">
        <v>15000</v>
      </c>
      <c r="X1094" s="283">
        <v>15000</v>
      </c>
      <c r="Y1094" s="283">
        <v>15000</v>
      </c>
      <c r="Z1094" s="497">
        <v>15000</v>
      </c>
      <c r="AA1094" s="536">
        <v>15000</v>
      </c>
      <c r="AB1094" s="2" t="s">
        <v>11</v>
      </c>
    </row>
    <row r="1095" spans="1:46" s="2" customFormat="1" x14ac:dyDescent="0.25">
      <c r="A1095" s="400" t="s">
        <v>1037</v>
      </c>
      <c r="B1095" s="26"/>
      <c r="C1095" s="306"/>
      <c r="D1095" s="54"/>
      <c r="E1095" s="34" t="s">
        <v>12</v>
      </c>
      <c r="F1095" s="34"/>
      <c r="G1095" s="35" t="s">
        <v>857</v>
      </c>
      <c r="H1095" s="35" t="s">
        <v>1105</v>
      </c>
      <c r="I1095" s="361"/>
      <c r="J1095" s="17" t="s">
        <v>2</v>
      </c>
      <c r="K1095" s="347">
        <v>20665.97</v>
      </c>
      <c r="L1095" s="21"/>
      <c r="M1095" s="11"/>
      <c r="N1095" s="11"/>
      <c r="O1095" s="11"/>
      <c r="P1095" s="142"/>
      <c r="Q1095" s="142"/>
      <c r="R1095" s="142">
        <f>1884.72+1843.75</f>
        <v>3728.4700000000003</v>
      </c>
      <c r="S1095" s="142">
        <f>1643.75+1643.75</f>
        <v>3287.5</v>
      </c>
      <c r="T1095" s="142">
        <f>1443.75+1443.75</f>
        <v>2887.5</v>
      </c>
      <c r="U1095" s="142">
        <f>1293.75+1293.75</f>
        <v>2587.5</v>
      </c>
      <c r="V1095" s="142">
        <f>1125+1125</f>
        <v>2250</v>
      </c>
      <c r="W1095" s="142">
        <f>956.25+956.25</f>
        <v>1912.5</v>
      </c>
      <c r="X1095" s="142">
        <f>787.5+787.5</f>
        <v>1575</v>
      </c>
      <c r="Y1095" s="142">
        <f>600+600</f>
        <v>1200</v>
      </c>
      <c r="Z1095" s="500">
        <f>412.5+412.5</f>
        <v>825</v>
      </c>
      <c r="AA1095" s="539">
        <f>206.25+206.25</f>
        <v>412.5</v>
      </c>
      <c r="AB1095" s="17" t="s">
        <v>11</v>
      </c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</row>
    <row r="1096" spans="1:46" s="6" customFormat="1" ht="13.8" thickBot="1" x14ac:dyDescent="0.3">
      <c r="A1096" s="409" t="s">
        <v>1126</v>
      </c>
      <c r="B1096" s="120"/>
      <c r="C1096" s="307"/>
      <c r="D1096" s="85"/>
      <c r="E1096" s="86" t="s">
        <v>160</v>
      </c>
      <c r="F1096" s="86" t="s">
        <v>412</v>
      </c>
      <c r="G1096" s="125"/>
      <c r="H1096" s="125"/>
      <c r="I1096" s="125"/>
      <c r="J1096" s="365" t="s">
        <v>6</v>
      </c>
      <c r="K1096" s="350">
        <f>K1095+K1094</f>
        <v>180665.97</v>
      </c>
      <c r="L1096" s="43"/>
      <c r="M1096" s="43"/>
      <c r="N1096" s="43"/>
      <c r="O1096" s="43"/>
      <c r="P1096" s="43"/>
      <c r="Q1096" s="43"/>
      <c r="R1096" s="43">
        <f t="shared" ref="R1096:Y1096" si="863">R1095+R1094</f>
        <v>23728.47</v>
      </c>
      <c r="S1096" s="43">
        <f t="shared" si="863"/>
        <v>23287.5</v>
      </c>
      <c r="T1096" s="43">
        <f t="shared" si="863"/>
        <v>17887.5</v>
      </c>
      <c r="U1096" s="43">
        <f t="shared" si="863"/>
        <v>17587.5</v>
      </c>
      <c r="V1096" s="43">
        <f t="shared" si="863"/>
        <v>17250</v>
      </c>
      <c r="W1096" s="43">
        <f t="shared" si="863"/>
        <v>16912.5</v>
      </c>
      <c r="X1096" s="43">
        <f t="shared" si="863"/>
        <v>16575</v>
      </c>
      <c r="Y1096" s="43">
        <f t="shared" si="863"/>
        <v>16200</v>
      </c>
      <c r="Z1096" s="499">
        <f t="shared" ref="Z1096:AA1096" si="864">Z1095+Z1094</f>
        <v>15825</v>
      </c>
      <c r="AA1096" s="538">
        <f t="shared" si="864"/>
        <v>15412.5</v>
      </c>
      <c r="AB1096" s="41" t="s">
        <v>11</v>
      </c>
      <c r="AC1096" s="41"/>
      <c r="AD1096" s="41"/>
      <c r="AE1096" s="41"/>
      <c r="AF1096" s="41"/>
      <c r="AG1096" s="41"/>
      <c r="AH1096" s="41"/>
      <c r="AI1096" s="41"/>
      <c r="AJ1096" s="41"/>
      <c r="AK1096" s="41"/>
      <c r="AL1096" s="41"/>
      <c r="AM1096" s="41"/>
      <c r="AN1096" s="41"/>
      <c r="AO1096" s="41"/>
      <c r="AP1096" s="41"/>
      <c r="AQ1096" s="41"/>
      <c r="AR1096" s="41"/>
      <c r="AS1096" s="41"/>
      <c r="AT1096" s="41"/>
    </row>
    <row r="1097" spans="1:46" s="2" customFormat="1" x14ac:dyDescent="0.25">
      <c r="A1097" s="26" t="s">
        <v>102</v>
      </c>
      <c r="B1097" s="26" t="s">
        <v>96</v>
      </c>
      <c r="C1097" s="306"/>
      <c r="D1097" s="54" t="s">
        <v>3</v>
      </c>
      <c r="E1097" s="284">
        <v>42836</v>
      </c>
      <c r="F1097" s="377" t="s">
        <v>258</v>
      </c>
      <c r="G1097" s="35" t="s">
        <v>681</v>
      </c>
      <c r="H1097" s="35">
        <v>31210271</v>
      </c>
      <c r="I1097" s="35">
        <v>585100</v>
      </c>
      <c r="J1097" s="2" t="s">
        <v>1</v>
      </c>
      <c r="K1097" s="27">
        <v>205000</v>
      </c>
      <c r="L1097" s="4"/>
      <c r="M1097" s="4"/>
      <c r="N1097" s="4"/>
      <c r="O1097" s="4"/>
      <c r="P1097" s="283"/>
      <c r="Q1097" s="283"/>
      <c r="R1097" s="283">
        <v>45000</v>
      </c>
      <c r="S1097" s="283">
        <v>40000</v>
      </c>
      <c r="T1097" s="283">
        <v>40000</v>
      </c>
      <c r="U1097" s="283">
        <v>40000</v>
      </c>
      <c r="V1097" s="283">
        <v>40000</v>
      </c>
      <c r="W1097" s="2" t="s">
        <v>11</v>
      </c>
      <c r="Z1097" s="490"/>
      <c r="AA1097" s="60"/>
    </row>
    <row r="1098" spans="1:46" s="2" customFormat="1" x14ac:dyDescent="0.25">
      <c r="A1098" s="400" t="s">
        <v>1038</v>
      </c>
      <c r="B1098" s="26"/>
      <c r="C1098" s="306"/>
      <c r="D1098" s="54"/>
      <c r="E1098" s="284" t="s">
        <v>12</v>
      </c>
      <c r="F1098" s="35"/>
      <c r="G1098" s="35" t="s">
        <v>858</v>
      </c>
      <c r="H1098" s="35" t="s">
        <v>1106</v>
      </c>
      <c r="I1098" s="35"/>
      <c r="J1098" s="17" t="s">
        <v>2</v>
      </c>
      <c r="K1098" s="347">
        <v>13047.78</v>
      </c>
      <c r="L1098" s="11"/>
      <c r="M1098" s="11"/>
      <c r="N1098" s="11"/>
      <c r="O1098" s="11"/>
      <c r="P1098" s="142"/>
      <c r="Q1098" s="142"/>
      <c r="R1098" s="142">
        <f>2197.78+2150</f>
        <v>4347.7800000000007</v>
      </c>
      <c r="S1098" s="142">
        <f>1700+1700</f>
        <v>3400</v>
      </c>
      <c r="T1098" s="142">
        <f>1300+1300</f>
        <v>2600</v>
      </c>
      <c r="U1098" s="142">
        <f>900+900</f>
        <v>1800</v>
      </c>
      <c r="V1098" s="142">
        <f>450+450</f>
        <v>900</v>
      </c>
      <c r="W1098" s="17" t="s">
        <v>11</v>
      </c>
      <c r="X1098" s="17"/>
      <c r="Y1098" s="17"/>
      <c r="Z1098" s="491"/>
      <c r="AA1098" s="532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</row>
    <row r="1099" spans="1:46" s="6" customFormat="1" ht="13.8" thickBot="1" x14ac:dyDescent="0.3">
      <c r="A1099" s="409" t="s">
        <v>1124</v>
      </c>
      <c r="B1099" s="120"/>
      <c r="C1099" s="307"/>
      <c r="D1099" s="85"/>
      <c r="E1099" s="145" t="s">
        <v>160</v>
      </c>
      <c r="F1099" s="529" t="s">
        <v>410</v>
      </c>
      <c r="G1099" s="125" t="s">
        <v>859</v>
      </c>
      <c r="H1099" s="125"/>
      <c r="I1099" s="125"/>
      <c r="J1099" s="365" t="s">
        <v>6</v>
      </c>
      <c r="K1099" s="350">
        <f>K1098+K1097</f>
        <v>218047.78</v>
      </c>
      <c r="L1099" s="43"/>
      <c r="M1099" s="43"/>
      <c r="N1099" s="43"/>
      <c r="O1099" s="43"/>
      <c r="P1099" s="43"/>
      <c r="Q1099" s="43"/>
      <c r="R1099" s="43">
        <f t="shared" ref="R1099:U1099" si="865">R1098+R1097</f>
        <v>49347.78</v>
      </c>
      <c r="S1099" s="43">
        <f t="shared" si="865"/>
        <v>43400</v>
      </c>
      <c r="T1099" s="43">
        <f t="shared" si="865"/>
        <v>42600</v>
      </c>
      <c r="U1099" s="43">
        <f t="shared" si="865"/>
        <v>41800</v>
      </c>
      <c r="V1099" s="43">
        <f t="shared" ref="V1099" si="866">V1098+V1097</f>
        <v>40900</v>
      </c>
      <c r="W1099" s="41" t="s">
        <v>11</v>
      </c>
      <c r="X1099" s="41"/>
      <c r="Y1099" s="41"/>
      <c r="Z1099" s="492"/>
      <c r="AA1099" s="533"/>
      <c r="AB1099" s="41"/>
      <c r="AC1099" s="41"/>
      <c r="AD1099" s="41"/>
      <c r="AE1099" s="41"/>
      <c r="AF1099" s="41"/>
      <c r="AG1099" s="41"/>
      <c r="AH1099" s="41"/>
      <c r="AI1099" s="41"/>
      <c r="AJ1099" s="41"/>
      <c r="AK1099" s="41"/>
      <c r="AL1099" s="41"/>
      <c r="AM1099" s="41"/>
      <c r="AN1099" s="41"/>
      <c r="AO1099" s="41"/>
      <c r="AP1099" s="41"/>
      <c r="AQ1099" s="41"/>
      <c r="AR1099" s="41"/>
      <c r="AS1099" s="41"/>
      <c r="AT1099" s="41"/>
    </row>
    <row r="1100" spans="1:46" s="2" customFormat="1" x14ac:dyDescent="0.25">
      <c r="A1100" s="26" t="s">
        <v>99</v>
      </c>
      <c r="B1100" s="26" t="s">
        <v>96</v>
      </c>
      <c r="C1100" s="306"/>
      <c r="D1100" s="54" t="s">
        <v>3</v>
      </c>
      <c r="E1100" s="34">
        <v>42836</v>
      </c>
      <c r="F1100" s="34" t="s">
        <v>825</v>
      </c>
      <c r="G1100" s="313" t="s">
        <v>457</v>
      </c>
      <c r="H1100" s="313">
        <v>31422271</v>
      </c>
      <c r="I1100" s="313">
        <v>586200</v>
      </c>
      <c r="J1100" s="2" t="s">
        <v>1</v>
      </c>
      <c r="K1100" s="27">
        <v>500000</v>
      </c>
      <c r="L1100" s="5"/>
      <c r="M1100" s="4"/>
      <c r="N1100" s="4"/>
      <c r="O1100" s="4"/>
      <c r="P1100" s="283"/>
      <c r="Q1100" s="283"/>
      <c r="R1100" s="283">
        <v>35000</v>
      </c>
      <c r="S1100" s="283">
        <v>35000</v>
      </c>
      <c r="T1100" s="283">
        <v>35000</v>
      </c>
      <c r="U1100" s="283">
        <v>35000</v>
      </c>
      <c r="V1100" s="283">
        <v>35000</v>
      </c>
      <c r="W1100" s="283">
        <v>35000</v>
      </c>
      <c r="X1100" s="283">
        <v>35000</v>
      </c>
      <c r="Y1100" s="283">
        <v>35000</v>
      </c>
      <c r="Z1100" s="497">
        <v>35000</v>
      </c>
      <c r="AA1100" s="536">
        <v>35000</v>
      </c>
      <c r="AB1100" s="5">
        <v>30000</v>
      </c>
      <c r="AC1100" s="5">
        <v>30000</v>
      </c>
      <c r="AD1100" s="5">
        <v>30000</v>
      </c>
      <c r="AE1100" s="5">
        <v>30000</v>
      </c>
      <c r="AF1100" s="5">
        <v>30000</v>
      </c>
      <c r="AG1100" s="2" t="s">
        <v>11</v>
      </c>
    </row>
    <row r="1101" spans="1:46" s="2" customFormat="1" x14ac:dyDescent="0.25">
      <c r="A1101" s="400" t="s">
        <v>1039</v>
      </c>
      <c r="B1101" s="26"/>
      <c r="C1101" s="306"/>
      <c r="D1101" s="54"/>
      <c r="E1101" s="34" t="s">
        <v>12</v>
      </c>
      <c r="F1101" s="34"/>
      <c r="G1101" s="35" t="s">
        <v>860</v>
      </c>
      <c r="H1101" s="35" t="s">
        <v>1107</v>
      </c>
      <c r="I1101" s="361"/>
      <c r="J1101" s="17" t="s">
        <v>2</v>
      </c>
      <c r="K1101" s="347">
        <v>105239.58</v>
      </c>
      <c r="L1101" s="21"/>
      <c r="M1101" s="11"/>
      <c r="N1101" s="11"/>
      <c r="O1101" s="11"/>
      <c r="P1101" s="142"/>
      <c r="Q1101" s="142"/>
      <c r="R1101" s="142">
        <f>6420.83+6281.25</f>
        <v>12702.08</v>
      </c>
      <c r="S1101" s="142">
        <f>5931.25+5931.25</f>
        <v>11862.5</v>
      </c>
      <c r="T1101" s="142">
        <f>5581.25+5581.25</f>
        <v>11162.5</v>
      </c>
      <c r="U1101" s="142">
        <f>5231.25+5231.25</f>
        <v>10462.5</v>
      </c>
      <c r="V1101" s="142">
        <f>4837.5+4837.5</f>
        <v>9675</v>
      </c>
      <c r="W1101" s="142">
        <f>4443.75+4443.75</f>
        <v>8887.5</v>
      </c>
      <c r="X1101" s="142">
        <f>4050+4050</f>
        <v>8100</v>
      </c>
      <c r="Y1101" s="142">
        <f>3612.5+3612.5</f>
        <v>7225</v>
      </c>
      <c r="Z1101" s="500">
        <f>3175+3175</f>
        <v>6350</v>
      </c>
      <c r="AA1101" s="539">
        <f>2693.75+2693.75</f>
        <v>5387.5</v>
      </c>
      <c r="AB1101" s="21">
        <f>2212.5+2212.5</f>
        <v>4425</v>
      </c>
      <c r="AC1101" s="21">
        <f>1800+1800</f>
        <v>3600</v>
      </c>
      <c r="AD1101" s="21">
        <f>1350+1350</f>
        <v>2700</v>
      </c>
      <c r="AE1101" s="21">
        <f>900+900</f>
        <v>1800</v>
      </c>
      <c r="AF1101" s="21">
        <f>450+450</f>
        <v>900</v>
      </c>
      <c r="AG1101" s="17" t="s">
        <v>11</v>
      </c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</row>
    <row r="1102" spans="1:46" s="6" customFormat="1" ht="13.8" thickBot="1" x14ac:dyDescent="0.3">
      <c r="A1102" s="409" t="s">
        <v>1119</v>
      </c>
      <c r="B1102" s="120"/>
      <c r="C1102" s="307"/>
      <c r="D1102" s="85"/>
      <c r="E1102" s="86" t="s">
        <v>15</v>
      </c>
      <c r="F1102" s="86" t="s">
        <v>405</v>
      </c>
      <c r="G1102" s="125"/>
      <c r="H1102" s="125"/>
      <c r="I1102" s="125"/>
      <c r="J1102" s="365" t="s">
        <v>6</v>
      </c>
      <c r="K1102" s="350">
        <f>K1101+K1100</f>
        <v>605239.57999999996</v>
      </c>
      <c r="L1102" s="43"/>
      <c r="M1102" s="43"/>
      <c r="N1102" s="43"/>
      <c r="O1102" s="43"/>
      <c r="P1102" s="43"/>
      <c r="Q1102" s="43"/>
      <c r="R1102" s="43">
        <f t="shared" ref="R1102:AF1102" si="867">R1101+R1100</f>
        <v>47702.080000000002</v>
      </c>
      <c r="S1102" s="43">
        <f t="shared" si="867"/>
        <v>46862.5</v>
      </c>
      <c r="T1102" s="43">
        <f t="shared" si="867"/>
        <v>46162.5</v>
      </c>
      <c r="U1102" s="43">
        <f t="shared" si="867"/>
        <v>45462.5</v>
      </c>
      <c r="V1102" s="43">
        <f t="shared" si="867"/>
        <v>44675</v>
      </c>
      <c r="W1102" s="43">
        <f t="shared" si="867"/>
        <v>43887.5</v>
      </c>
      <c r="X1102" s="43">
        <f t="shared" si="867"/>
        <v>43100</v>
      </c>
      <c r="Y1102" s="43">
        <f t="shared" si="867"/>
        <v>42225</v>
      </c>
      <c r="Z1102" s="499">
        <f t="shared" si="867"/>
        <v>41350</v>
      </c>
      <c r="AA1102" s="538">
        <f t="shared" si="867"/>
        <v>40387.5</v>
      </c>
      <c r="AB1102" s="43">
        <f t="shared" si="867"/>
        <v>34425</v>
      </c>
      <c r="AC1102" s="43">
        <f t="shared" si="867"/>
        <v>33600</v>
      </c>
      <c r="AD1102" s="43">
        <f t="shared" si="867"/>
        <v>32700</v>
      </c>
      <c r="AE1102" s="43">
        <f t="shared" si="867"/>
        <v>31800</v>
      </c>
      <c r="AF1102" s="43">
        <f t="shared" si="867"/>
        <v>30900</v>
      </c>
      <c r="AG1102" s="41" t="s">
        <v>11</v>
      </c>
      <c r="AH1102" s="41"/>
      <c r="AI1102" s="41"/>
      <c r="AJ1102" s="41"/>
      <c r="AK1102" s="41"/>
      <c r="AL1102" s="41"/>
      <c r="AM1102" s="41"/>
      <c r="AN1102" s="41"/>
      <c r="AO1102" s="41"/>
      <c r="AP1102" s="41"/>
      <c r="AQ1102" s="41"/>
      <c r="AR1102" s="41"/>
      <c r="AS1102" s="41"/>
      <c r="AT1102" s="41"/>
    </row>
    <row r="1103" spans="1:46" s="2" customFormat="1" x14ac:dyDescent="0.25">
      <c r="A1103" s="26" t="s">
        <v>99</v>
      </c>
      <c r="B1103" s="26" t="s">
        <v>96</v>
      </c>
      <c r="C1103" s="306"/>
      <c r="D1103" s="54" t="s">
        <v>3</v>
      </c>
      <c r="E1103" s="34">
        <v>42836</v>
      </c>
      <c r="F1103" s="34" t="s">
        <v>825</v>
      </c>
      <c r="G1103" s="313" t="s">
        <v>861</v>
      </c>
      <c r="H1103" s="313">
        <v>31422271</v>
      </c>
      <c r="I1103" s="313">
        <v>584005</v>
      </c>
      <c r="J1103" s="2" t="s">
        <v>1</v>
      </c>
      <c r="K1103" s="27">
        <v>250000</v>
      </c>
      <c r="L1103" s="5"/>
      <c r="M1103" s="4"/>
      <c r="N1103" s="4"/>
      <c r="O1103" s="4"/>
      <c r="P1103" s="283"/>
      <c r="Q1103" s="283"/>
      <c r="R1103" s="283">
        <v>20000</v>
      </c>
      <c r="S1103" s="283">
        <v>20000</v>
      </c>
      <c r="T1103" s="283">
        <v>20000</v>
      </c>
      <c r="U1103" s="283">
        <v>20000</v>
      </c>
      <c r="V1103" s="283">
        <v>20000</v>
      </c>
      <c r="W1103" s="283">
        <v>15000</v>
      </c>
      <c r="X1103" s="283">
        <v>15000</v>
      </c>
      <c r="Y1103" s="283">
        <v>15000</v>
      </c>
      <c r="Z1103" s="497">
        <v>15000</v>
      </c>
      <c r="AA1103" s="536">
        <v>15000</v>
      </c>
      <c r="AB1103" s="5">
        <v>15000</v>
      </c>
      <c r="AC1103" s="5">
        <v>15000</v>
      </c>
      <c r="AD1103" s="5">
        <v>15000</v>
      </c>
      <c r="AE1103" s="5">
        <v>15000</v>
      </c>
      <c r="AF1103" s="5">
        <v>15000</v>
      </c>
      <c r="AG1103" s="2" t="s">
        <v>11</v>
      </c>
    </row>
    <row r="1104" spans="1:46" s="2" customFormat="1" x14ac:dyDescent="0.25">
      <c r="A1104" s="400" t="s">
        <v>1040</v>
      </c>
      <c r="B1104" s="26"/>
      <c r="C1104" s="306"/>
      <c r="D1104" s="54"/>
      <c r="E1104" s="34" t="s">
        <v>12</v>
      </c>
      <c r="F1104" s="34"/>
      <c r="G1104" s="35" t="s">
        <v>906</v>
      </c>
      <c r="H1104" s="35" t="s">
        <v>1107</v>
      </c>
      <c r="I1104" s="361"/>
      <c r="J1104" s="17" t="s">
        <v>2</v>
      </c>
      <c r="K1104" s="347">
        <v>50844.17</v>
      </c>
      <c r="L1104" s="21"/>
      <c r="M1104" s="11"/>
      <c r="N1104" s="11"/>
      <c r="O1104" s="11"/>
      <c r="P1104" s="142"/>
      <c r="Q1104" s="142"/>
      <c r="R1104" s="142">
        <f>3181.67+3112.5</f>
        <v>6294.17</v>
      </c>
      <c r="S1104" s="142">
        <f>2912.5+2912.5</f>
        <v>5825</v>
      </c>
      <c r="T1104" s="142">
        <f>2712.5+2712.5</f>
        <v>5425</v>
      </c>
      <c r="U1104" s="142">
        <f>2512.5+2512.5</f>
        <v>5025</v>
      </c>
      <c r="V1104" s="142">
        <f>2287.5+2287.5</f>
        <v>4575</v>
      </c>
      <c r="W1104" s="142">
        <f>2062.5+2062.5</f>
        <v>4125</v>
      </c>
      <c r="X1104" s="142">
        <f>1893.75+1893.75</f>
        <v>3787.5</v>
      </c>
      <c r="Y1104" s="142">
        <f>1706.25+1706.25</f>
        <v>3412.5</v>
      </c>
      <c r="Z1104" s="500">
        <f>1518.75+1518.75</f>
        <v>3037.5</v>
      </c>
      <c r="AA1104" s="539">
        <f>1312.5+1312.5</f>
        <v>2625</v>
      </c>
      <c r="AB1104" s="21">
        <f>1106.25+1106.25</f>
        <v>2212.5</v>
      </c>
      <c r="AC1104" s="21">
        <f>900+900</f>
        <v>1800</v>
      </c>
      <c r="AD1104" s="21">
        <f>675+675</f>
        <v>1350</v>
      </c>
      <c r="AE1104" s="21">
        <f>450+450</f>
        <v>900</v>
      </c>
      <c r="AF1104" s="21">
        <f>225+225</f>
        <v>450</v>
      </c>
      <c r="AG1104" s="17" t="s">
        <v>11</v>
      </c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</row>
    <row r="1105" spans="1:46" s="6" customFormat="1" ht="13.8" thickBot="1" x14ac:dyDescent="0.3">
      <c r="A1105" s="409" t="s">
        <v>1119</v>
      </c>
      <c r="B1105" s="120"/>
      <c r="C1105" s="307"/>
      <c r="D1105" s="85"/>
      <c r="E1105" s="86" t="s">
        <v>15</v>
      </c>
      <c r="F1105" s="86" t="s">
        <v>405</v>
      </c>
      <c r="G1105" s="125"/>
      <c r="H1105" s="125"/>
      <c r="I1105" s="125"/>
      <c r="J1105" s="365" t="s">
        <v>6</v>
      </c>
      <c r="K1105" s="350">
        <f>K1104+K1103</f>
        <v>300844.17</v>
      </c>
      <c r="L1105" s="43"/>
      <c r="M1105" s="43"/>
      <c r="N1105" s="43"/>
      <c r="O1105" s="43"/>
      <c r="P1105" s="43"/>
      <c r="Q1105" s="43"/>
      <c r="R1105" s="43">
        <f t="shared" ref="R1105:AE1105" si="868">R1104+R1103</f>
        <v>26294.17</v>
      </c>
      <c r="S1105" s="43">
        <f t="shared" si="868"/>
        <v>25825</v>
      </c>
      <c r="T1105" s="43">
        <f t="shared" si="868"/>
        <v>25425</v>
      </c>
      <c r="U1105" s="43">
        <f t="shared" si="868"/>
        <v>25025</v>
      </c>
      <c r="V1105" s="43">
        <f t="shared" si="868"/>
        <v>24575</v>
      </c>
      <c r="W1105" s="43">
        <f t="shared" si="868"/>
        <v>19125</v>
      </c>
      <c r="X1105" s="43">
        <f t="shared" si="868"/>
        <v>18787.5</v>
      </c>
      <c r="Y1105" s="43">
        <f t="shared" si="868"/>
        <v>18412.5</v>
      </c>
      <c r="Z1105" s="499">
        <f t="shared" si="868"/>
        <v>18037.5</v>
      </c>
      <c r="AA1105" s="538">
        <f t="shared" si="868"/>
        <v>17625</v>
      </c>
      <c r="AB1105" s="43">
        <f t="shared" si="868"/>
        <v>17212.5</v>
      </c>
      <c r="AC1105" s="43">
        <f t="shared" si="868"/>
        <v>16800</v>
      </c>
      <c r="AD1105" s="43">
        <f t="shared" si="868"/>
        <v>16350</v>
      </c>
      <c r="AE1105" s="43">
        <f t="shared" si="868"/>
        <v>15900</v>
      </c>
      <c r="AF1105" s="43">
        <f t="shared" ref="AF1105" si="869">AF1104+AF1103</f>
        <v>15450</v>
      </c>
      <c r="AG1105" s="41" t="s">
        <v>11</v>
      </c>
      <c r="AH1105" s="41"/>
      <c r="AI1105" s="41"/>
      <c r="AJ1105" s="41"/>
      <c r="AK1105" s="41"/>
      <c r="AL1105" s="41"/>
      <c r="AM1105" s="41"/>
      <c r="AN1105" s="41"/>
      <c r="AO1105" s="41"/>
      <c r="AP1105" s="41"/>
      <c r="AQ1105" s="41"/>
      <c r="AR1105" s="41"/>
      <c r="AS1105" s="41"/>
      <c r="AT1105" s="41"/>
    </row>
    <row r="1106" spans="1:46" s="2" customFormat="1" x14ac:dyDescent="0.25">
      <c r="A1106" s="26" t="s">
        <v>99</v>
      </c>
      <c r="B1106" s="26" t="s">
        <v>96</v>
      </c>
      <c r="C1106" s="306"/>
      <c r="D1106" s="54" t="s">
        <v>3</v>
      </c>
      <c r="E1106" s="284">
        <v>42836</v>
      </c>
      <c r="F1106" s="369" t="s">
        <v>825</v>
      </c>
      <c r="G1106" s="313" t="s">
        <v>766</v>
      </c>
      <c r="H1106" s="313">
        <v>31422271</v>
      </c>
      <c r="I1106" s="313">
        <v>586202</v>
      </c>
      <c r="J1106" s="2" t="s">
        <v>1</v>
      </c>
      <c r="K1106" s="27">
        <v>200000</v>
      </c>
      <c r="L1106" s="4"/>
      <c r="M1106" s="4"/>
      <c r="N1106" s="4"/>
      <c r="O1106" s="4"/>
      <c r="P1106" s="283"/>
      <c r="Q1106" s="283"/>
      <c r="R1106" s="283">
        <v>20000</v>
      </c>
      <c r="S1106" s="283">
        <v>20000</v>
      </c>
      <c r="T1106" s="283">
        <v>20000</v>
      </c>
      <c r="U1106" s="283">
        <v>20000</v>
      </c>
      <c r="V1106" s="283">
        <v>20000</v>
      </c>
      <c r="W1106" s="283">
        <v>20000</v>
      </c>
      <c r="X1106" s="283">
        <v>20000</v>
      </c>
      <c r="Y1106" s="283">
        <v>20000</v>
      </c>
      <c r="Z1106" s="497">
        <v>20000</v>
      </c>
      <c r="AA1106" s="536">
        <v>20000</v>
      </c>
      <c r="AB1106" s="2" t="s">
        <v>11</v>
      </c>
    </row>
    <row r="1107" spans="1:46" s="2" customFormat="1" x14ac:dyDescent="0.25">
      <c r="A1107" s="400" t="s">
        <v>1041</v>
      </c>
      <c r="B1107" s="26"/>
      <c r="C1107" s="306"/>
      <c r="D1107" s="54"/>
      <c r="E1107" s="34" t="s">
        <v>12</v>
      </c>
      <c r="F1107" s="35"/>
      <c r="G1107" s="35" t="s">
        <v>862</v>
      </c>
      <c r="H1107" s="35" t="s">
        <v>1105</v>
      </c>
      <c r="I1107" s="361"/>
      <c r="J1107" s="17" t="s">
        <v>2</v>
      </c>
      <c r="K1107" s="347">
        <v>27151.67</v>
      </c>
      <c r="L1107" s="11"/>
      <c r="M1107" s="11"/>
      <c r="N1107" s="11"/>
      <c r="O1107" s="11"/>
      <c r="P1107" s="142"/>
      <c r="Q1107" s="142"/>
      <c r="R1107" s="142">
        <f>2376.67+2325</f>
        <v>4701.67</v>
      </c>
      <c r="S1107" s="142">
        <f>2125+2125</f>
        <v>4250</v>
      </c>
      <c r="T1107" s="142">
        <f>1925+1925</f>
        <v>3850</v>
      </c>
      <c r="U1107" s="142">
        <f>1725+1725</f>
        <v>3450</v>
      </c>
      <c r="V1107" s="142">
        <f>1500+1500</f>
        <v>3000</v>
      </c>
      <c r="W1107" s="142">
        <f>1275+1275</f>
        <v>2550</v>
      </c>
      <c r="X1107" s="142">
        <f>1050+1050</f>
        <v>2100</v>
      </c>
      <c r="Y1107" s="142">
        <f>800+800</f>
        <v>1600</v>
      </c>
      <c r="Z1107" s="500">
        <f>550+550</f>
        <v>1100</v>
      </c>
      <c r="AA1107" s="539">
        <f>275+275</f>
        <v>550</v>
      </c>
      <c r="AB1107" s="17" t="s">
        <v>11</v>
      </c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</row>
    <row r="1108" spans="1:46" s="6" customFormat="1" ht="13.8" thickBot="1" x14ac:dyDescent="0.3">
      <c r="A1108" s="409" t="s">
        <v>1126</v>
      </c>
      <c r="B1108" s="120"/>
      <c r="C1108" s="307"/>
      <c r="D1108" s="85"/>
      <c r="E1108" s="86" t="s">
        <v>15</v>
      </c>
      <c r="F1108" s="86" t="s">
        <v>405</v>
      </c>
      <c r="G1108" s="125"/>
      <c r="H1108" s="125"/>
      <c r="I1108" s="125"/>
      <c r="J1108" s="365" t="s">
        <v>6</v>
      </c>
      <c r="K1108" s="350">
        <f>K1107+K1106</f>
        <v>227151.66999999998</v>
      </c>
      <c r="L1108" s="43"/>
      <c r="M1108" s="43"/>
      <c r="N1108" s="43"/>
      <c r="O1108" s="43"/>
      <c r="P1108" s="43"/>
      <c r="Q1108" s="43"/>
      <c r="R1108" s="43">
        <f t="shared" ref="R1108:U1108" si="870">R1107+R1106</f>
        <v>24701.67</v>
      </c>
      <c r="S1108" s="43">
        <f t="shared" si="870"/>
        <v>24250</v>
      </c>
      <c r="T1108" s="43">
        <f t="shared" si="870"/>
        <v>23850</v>
      </c>
      <c r="U1108" s="43">
        <f t="shared" si="870"/>
        <v>23450</v>
      </c>
      <c r="V1108" s="43">
        <f t="shared" ref="V1108:X1108" si="871">V1107+V1106</f>
        <v>23000</v>
      </c>
      <c r="W1108" s="43">
        <f t="shared" si="871"/>
        <v>22550</v>
      </c>
      <c r="X1108" s="43">
        <f t="shared" si="871"/>
        <v>22100</v>
      </c>
      <c r="Y1108" s="43">
        <f t="shared" ref="Y1108:AA1108" si="872">Y1107+Y1106</f>
        <v>21600</v>
      </c>
      <c r="Z1108" s="499">
        <f t="shared" si="872"/>
        <v>21100</v>
      </c>
      <c r="AA1108" s="538">
        <f t="shared" si="872"/>
        <v>20550</v>
      </c>
      <c r="AB1108" s="41" t="s">
        <v>11</v>
      </c>
      <c r="AC1108" s="41"/>
      <c r="AD1108" s="41"/>
      <c r="AE1108" s="41"/>
      <c r="AF1108" s="41"/>
      <c r="AG1108" s="41"/>
      <c r="AH1108" s="41"/>
      <c r="AI1108" s="41"/>
      <c r="AJ1108" s="41"/>
      <c r="AK1108" s="41"/>
      <c r="AL1108" s="41"/>
      <c r="AM1108" s="41"/>
      <c r="AN1108" s="41"/>
      <c r="AO1108" s="41"/>
      <c r="AP1108" s="41"/>
      <c r="AQ1108" s="41"/>
      <c r="AR1108" s="41"/>
      <c r="AS1108" s="41"/>
      <c r="AT1108" s="41"/>
    </row>
    <row r="1109" spans="1:46" s="2" customFormat="1" x14ac:dyDescent="0.25">
      <c r="A1109" s="26" t="s">
        <v>102</v>
      </c>
      <c r="B1109" s="26" t="s">
        <v>96</v>
      </c>
      <c r="C1109" s="306"/>
      <c r="D1109" s="54" t="s">
        <v>3</v>
      </c>
      <c r="E1109" s="284">
        <v>42836</v>
      </c>
      <c r="F1109" s="34" t="s">
        <v>258</v>
      </c>
      <c r="G1109" s="35" t="s">
        <v>863</v>
      </c>
      <c r="H1109" s="35">
        <v>31422271</v>
      </c>
      <c r="I1109" s="35">
        <v>585105</v>
      </c>
      <c r="J1109" s="2" t="s">
        <v>1</v>
      </c>
      <c r="K1109" s="27">
        <v>240000</v>
      </c>
      <c r="L1109" s="4"/>
      <c r="M1109" s="4"/>
      <c r="N1109" s="4"/>
      <c r="O1109" s="4"/>
      <c r="P1109" s="283"/>
      <c r="Q1109" s="283"/>
      <c r="R1109" s="283">
        <v>50000</v>
      </c>
      <c r="S1109" s="283">
        <v>50000</v>
      </c>
      <c r="T1109" s="283">
        <v>50000</v>
      </c>
      <c r="U1109" s="283">
        <v>45000</v>
      </c>
      <c r="V1109" s="283">
        <v>45000</v>
      </c>
      <c r="W1109" s="2" t="s">
        <v>11</v>
      </c>
      <c r="Z1109" s="490"/>
      <c r="AA1109" s="60"/>
    </row>
    <row r="1110" spans="1:46" s="2" customFormat="1" x14ac:dyDescent="0.25">
      <c r="A1110" s="400" t="s">
        <v>1042</v>
      </c>
      <c r="B1110" s="26"/>
      <c r="C1110" s="306"/>
      <c r="D1110" s="54"/>
      <c r="E1110" s="284" t="s">
        <v>12</v>
      </c>
      <c r="F1110" s="34"/>
      <c r="G1110" s="35" t="s">
        <v>864</v>
      </c>
      <c r="H1110" s="35" t="s">
        <v>1106</v>
      </c>
      <c r="I1110" s="35"/>
      <c r="J1110" s="17" t="s">
        <v>2</v>
      </c>
      <c r="K1110" s="347">
        <v>15168.33</v>
      </c>
      <c r="L1110" s="11"/>
      <c r="M1110" s="11"/>
      <c r="N1110" s="11"/>
      <c r="O1110" s="11"/>
      <c r="P1110" s="142"/>
      <c r="Q1110" s="142"/>
      <c r="R1110" s="142">
        <f>2568.33+2512.5</f>
        <v>5080.83</v>
      </c>
      <c r="S1110" s="142">
        <f>2012.5+2012.5</f>
        <v>4025</v>
      </c>
      <c r="T1110" s="142">
        <f>1512.5+1512.5</f>
        <v>3025</v>
      </c>
      <c r="U1110" s="142">
        <f>1012.5+1012.5</f>
        <v>2025</v>
      </c>
      <c r="V1110" s="142">
        <f>506.25+506.25</f>
        <v>1012.5</v>
      </c>
      <c r="W1110" s="17" t="s">
        <v>11</v>
      </c>
      <c r="X1110" s="17"/>
      <c r="Y1110" s="17"/>
      <c r="Z1110" s="491"/>
      <c r="AA1110" s="532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</row>
    <row r="1111" spans="1:46" s="6" customFormat="1" ht="13.8" thickBot="1" x14ac:dyDescent="0.3">
      <c r="A1111" s="409" t="s">
        <v>1124</v>
      </c>
      <c r="B1111" s="120"/>
      <c r="C1111" s="307"/>
      <c r="D1111" s="85"/>
      <c r="E1111" s="145" t="s">
        <v>160</v>
      </c>
      <c r="F1111" s="86" t="s">
        <v>410</v>
      </c>
      <c r="G1111" s="125"/>
      <c r="H1111" s="125"/>
      <c r="I1111" s="125"/>
      <c r="J1111" s="365" t="s">
        <v>6</v>
      </c>
      <c r="K1111" s="350">
        <f>K1110+K1109</f>
        <v>255168.33</v>
      </c>
      <c r="L1111" s="43"/>
      <c r="M1111" s="43"/>
      <c r="N1111" s="43"/>
      <c r="O1111" s="43"/>
      <c r="P1111" s="43"/>
      <c r="Q1111" s="43"/>
      <c r="R1111" s="43">
        <f t="shared" ref="R1111:T1111" si="873">R1110+R1109</f>
        <v>55080.83</v>
      </c>
      <c r="S1111" s="43">
        <f t="shared" si="873"/>
        <v>54025</v>
      </c>
      <c r="T1111" s="43">
        <f t="shared" si="873"/>
        <v>53025</v>
      </c>
      <c r="U1111" s="43">
        <f t="shared" ref="U1111:V1111" si="874">U1110+U1109</f>
        <v>47025</v>
      </c>
      <c r="V1111" s="43">
        <f t="shared" si="874"/>
        <v>46012.5</v>
      </c>
      <c r="W1111" s="41" t="s">
        <v>11</v>
      </c>
      <c r="X1111" s="41"/>
      <c r="Y1111" s="41"/>
      <c r="Z1111" s="492"/>
      <c r="AA1111" s="533"/>
      <c r="AB1111" s="41"/>
      <c r="AC1111" s="41"/>
      <c r="AD1111" s="41"/>
      <c r="AE1111" s="41"/>
      <c r="AF1111" s="41"/>
      <c r="AG1111" s="41"/>
      <c r="AH1111" s="41"/>
      <c r="AI1111" s="41"/>
      <c r="AJ1111" s="41"/>
      <c r="AK1111" s="41"/>
      <c r="AL1111" s="41"/>
      <c r="AM1111" s="41"/>
      <c r="AN1111" s="41"/>
      <c r="AO1111" s="41"/>
      <c r="AP1111" s="41"/>
      <c r="AQ1111" s="41"/>
      <c r="AR1111" s="41"/>
      <c r="AS1111" s="41"/>
      <c r="AT1111" s="41"/>
    </row>
    <row r="1112" spans="1:46" s="2" customFormat="1" x14ac:dyDescent="0.25">
      <c r="A1112" s="26" t="s">
        <v>98</v>
      </c>
      <c r="B1112" s="26" t="s">
        <v>96</v>
      </c>
      <c r="C1112" s="306"/>
      <c r="D1112" s="54" t="s">
        <v>3</v>
      </c>
      <c r="E1112" s="284">
        <v>42836</v>
      </c>
      <c r="F1112" s="377" t="s">
        <v>259</v>
      </c>
      <c r="G1112" s="323" t="s">
        <v>129</v>
      </c>
      <c r="H1112" s="323">
        <v>31300271</v>
      </c>
      <c r="I1112" s="323">
        <v>585002</v>
      </c>
      <c r="J1112" s="2" t="s">
        <v>1</v>
      </c>
      <c r="K1112" s="27">
        <v>300000</v>
      </c>
      <c r="L1112" s="4"/>
      <c r="M1112" s="4"/>
      <c r="N1112" s="4"/>
      <c r="O1112" s="4"/>
      <c r="P1112" s="283"/>
      <c r="Q1112" s="283"/>
      <c r="R1112" s="283">
        <v>30000</v>
      </c>
      <c r="S1112" s="283">
        <v>30000</v>
      </c>
      <c r="T1112" s="283">
        <v>30000</v>
      </c>
      <c r="U1112" s="283">
        <v>30000</v>
      </c>
      <c r="V1112" s="283">
        <v>30000</v>
      </c>
      <c r="W1112" s="283">
        <v>30000</v>
      </c>
      <c r="X1112" s="283">
        <v>30000</v>
      </c>
      <c r="Y1112" s="283">
        <v>30000</v>
      </c>
      <c r="Z1112" s="497">
        <v>30000</v>
      </c>
      <c r="AA1112" s="536">
        <v>30000</v>
      </c>
      <c r="AB1112" s="2" t="s">
        <v>11</v>
      </c>
    </row>
    <row r="1113" spans="1:46" s="2" customFormat="1" x14ac:dyDescent="0.25">
      <c r="A1113" s="400" t="s">
        <v>1043</v>
      </c>
      <c r="B1113" s="26"/>
      <c r="C1113" s="306"/>
      <c r="D1113" s="54"/>
      <c r="E1113" s="34" t="s">
        <v>12</v>
      </c>
      <c r="F1113" s="35"/>
      <c r="G1113" s="35" t="s">
        <v>865</v>
      </c>
      <c r="H1113" s="35" t="s">
        <v>1105</v>
      </c>
      <c r="I1113" s="361"/>
      <c r="J1113" s="17" t="s">
        <v>2</v>
      </c>
      <c r="K1113" s="347">
        <v>40727.5</v>
      </c>
      <c r="L1113" s="11"/>
      <c r="M1113" s="11"/>
      <c r="N1113" s="11"/>
      <c r="O1113" s="11"/>
      <c r="P1113" s="142"/>
      <c r="Q1113" s="142"/>
      <c r="R1113" s="142">
        <f>3565+3487.5</f>
        <v>7052.5</v>
      </c>
      <c r="S1113" s="142">
        <f>3187.5+3187.5</f>
        <v>6375</v>
      </c>
      <c r="T1113" s="142">
        <f>2887.5+2887.5</f>
        <v>5775</v>
      </c>
      <c r="U1113" s="142">
        <f>2587.5+2587.5</f>
        <v>5175</v>
      </c>
      <c r="V1113" s="142">
        <f>2250+2250</f>
        <v>4500</v>
      </c>
      <c r="W1113" s="142">
        <f>1912.5+1912.5</f>
        <v>3825</v>
      </c>
      <c r="X1113" s="142">
        <f>1575+1575</f>
        <v>3150</v>
      </c>
      <c r="Y1113" s="142">
        <f>1200+1200</f>
        <v>2400</v>
      </c>
      <c r="Z1113" s="500">
        <f>825+825</f>
        <v>1650</v>
      </c>
      <c r="AA1113" s="539">
        <f>412.5+412.5</f>
        <v>825</v>
      </c>
      <c r="AB1113" s="17" t="s">
        <v>11</v>
      </c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</row>
    <row r="1114" spans="1:46" s="6" customFormat="1" ht="13.8" thickBot="1" x14ac:dyDescent="0.3">
      <c r="A1114" s="409" t="s">
        <v>1126</v>
      </c>
      <c r="B1114" s="120"/>
      <c r="C1114" s="307"/>
      <c r="D1114" s="85"/>
      <c r="E1114" s="86" t="s">
        <v>17</v>
      </c>
      <c r="F1114" s="86" t="s">
        <v>408</v>
      </c>
      <c r="G1114" s="125"/>
      <c r="H1114" s="125"/>
      <c r="I1114" s="125"/>
      <c r="J1114" s="365" t="s">
        <v>6</v>
      </c>
      <c r="K1114" s="350">
        <f>K1113+K1112</f>
        <v>340727.5</v>
      </c>
      <c r="L1114" s="43"/>
      <c r="M1114" s="43"/>
      <c r="N1114" s="43"/>
      <c r="O1114" s="43"/>
      <c r="P1114" s="43"/>
      <c r="Q1114" s="43"/>
      <c r="R1114" s="43">
        <f t="shared" ref="R1114:Z1114" si="875">R1113+R1112</f>
        <v>37052.5</v>
      </c>
      <c r="S1114" s="43">
        <f t="shared" si="875"/>
        <v>36375</v>
      </c>
      <c r="T1114" s="43">
        <f t="shared" si="875"/>
        <v>35775</v>
      </c>
      <c r="U1114" s="43">
        <f t="shared" si="875"/>
        <v>35175</v>
      </c>
      <c r="V1114" s="43">
        <f t="shared" si="875"/>
        <v>34500</v>
      </c>
      <c r="W1114" s="43">
        <f t="shared" si="875"/>
        <v>33825</v>
      </c>
      <c r="X1114" s="43">
        <f t="shared" si="875"/>
        <v>33150</v>
      </c>
      <c r="Y1114" s="43">
        <f t="shared" si="875"/>
        <v>32400</v>
      </c>
      <c r="Z1114" s="499">
        <f t="shared" si="875"/>
        <v>31650</v>
      </c>
      <c r="AA1114" s="538">
        <f t="shared" ref="AA1114" si="876">AA1113+AA1112</f>
        <v>30825</v>
      </c>
      <c r="AB1114" s="41" t="s">
        <v>11</v>
      </c>
      <c r="AC1114" s="41"/>
      <c r="AD1114" s="41"/>
      <c r="AE1114" s="41"/>
      <c r="AF1114" s="41"/>
      <c r="AG1114" s="41"/>
      <c r="AH1114" s="41"/>
      <c r="AI1114" s="41"/>
      <c r="AJ1114" s="41"/>
      <c r="AK1114" s="41"/>
      <c r="AL1114" s="41"/>
      <c r="AM1114" s="41"/>
      <c r="AN1114" s="41"/>
      <c r="AO1114" s="41"/>
      <c r="AP1114" s="41"/>
      <c r="AQ1114" s="41"/>
      <c r="AR1114" s="41"/>
      <c r="AS1114" s="41"/>
      <c r="AT1114" s="41"/>
    </row>
    <row r="1115" spans="1:46" s="2" customFormat="1" x14ac:dyDescent="0.25">
      <c r="A1115" s="26" t="s">
        <v>95</v>
      </c>
      <c r="B1115" s="26" t="s">
        <v>96</v>
      </c>
      <c r="C1115" s="306"/>
      <c r="D1115" s="54" t="s">
        <v>3</v>
      </c>
      <c r="E1115" s="284">
        <v>42836</v>
      </c>
      <c r="F1115" s="377" t="s">
        <v>269</v>
      </c>
      <c r="G1115" s="318" t="s">
        <v>866</v>
      </c>
      <c r="H1115" s="318">
        <v>31300271</v>
      </c>
      <c r="I1115" s="318">
        <v>582006</v>
      </c>
      <c r="J1115" s="2" t="s">
        <v>1</v>
      </c>
      <c r="K1115" s="27">
        <v>158000</v>
      </c>
      <c r="L1115" s="4"/>
      <c r="M1115" s="4"/>
      <c r="N1115" s="4"/>
      <c r="O1115" s="4"/>
      <c r="P1115" s="283"/>
      <c r="Q1115" s="283"/>
      <c r="R1115" s="283">
        <v>23000</v>
      </c>
      <c r="S1115" s="283">
        <v>15000</v>
      </c>
      <c r="T1115" s="283">
        <v>15000</v>
      </c>
      <c r="U1115" s="283">
        <v>15000</v>
      </c>
      <c r="V1115" s="283">
        <v>15000</v>
      </c>
      <c r="W1115" s="283">
        <v>15000</v>
      </c>
      <c r="X1115" s="283">
        <v>15000</v>
      </c>
      <c r="Y1115" s="283">
        <v>15000</v>
      </c>
      <c r="Z1115" s="497">
        <v>15000</v>
      </c>
      <c r="AA1115" s="536">
        <v>15000</v>
      </c>
      <c r="AB1115" s="2" t="s">
        <v>11</v>
      </c>
    </row>
    <row r="1116" spans="1:46" s="2" customFormat="1" x14ac:dyDescent="0.25">
      <c r="A1116" s="400" t="s">
        <v>1044</v>
      </c>
      <c r="B1116" s="26"/>
      <c r="C1116" s="306"/>
      <c r="D1116" s="54"/>
      <c r="E1116" s="34" t="s">
        <v>12</v>
      </c>
      <c r="F1116" s="35"/>
      <c r="G1116" s="35" t="s">
        <v>867</v>
      </c>
      <c r="H1116" s="35" t="s">
        <v>1105</v>
      </c>
      <c r="I1116" s="361"/>
      <c r="J1116" s="17" t="s">
        <v>2</v>
      </c>
      <c r="K1116" s="347">
        <v>20525.53</v>
      </c>
      <c r="L1116" s="11"/>
      <c r="M1116" s="11"/>
      <c r="N1116" s="11"/>
      <c r="O1116" s="11"/>
      <c r="P1116" s="142"/>
      <c r="Q1116" s="142"/>
      <c r="R1116" s="142">
        <f>1864.28+1823.75</f>
        <v>3688.0299999999997</v>
      </c>
      <c r="S1116" s="142">
        <f>1593.75+1593.75</f>
        <v>3187.5</v>
      </c>
      <c r="T1116" s="142">
        <f>1443.75+1443.75</f>
        <v>2887.5</v>
      </c>
      <c r="U1116" s="142">
        <f>1293.75+1293.75</f>
        <v>2587.5</v>
      </c>
      <c r="V1116" s="142">
        <f>1125+1125</f>
        <v>2250</v>
      </c>
      <c r="W1116" s="142">
        <f>956.25+956.25</f>
        <v>1912.5</v>
      </c>
      <c r="X1116" s="142">
        <f>787.5+787.5</f>
        <v>1575</v>
      </c>
      <c r="Y1116" s="142">
        <f>600+600</f>
        <v>1200</v>
      </c>
      <c r="Z1116" s="500">
        <f>412.5+412.5</f>
        <v>825</v>
      </c>
      <c r="AA1116" s="539">
        <f>206.25+206.25</f>
        <v>412.5</v>
      </c>
      <c r="AB1116" s="17" t="s">
        <v>11</v>
      </c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</row>
    <row r="1117" spans="1:46" s="6" customFormat="1" ht="13.8" thickBot="1" x14ac:dyDescent="0.3">
      <c r="A1117" s="409" t="s">
        <v>1126</v>
      </c>
      <c r="B1117" s="120"/>
      <c r="C1117" s="307"/>
      <c r="D1117" s="85"/>
      <c r="E1117" s="86" t="s">
        <v>161</v>
      </c>
      <c r="F1117" s="86" t="s">
        <v>408</v>
      </c>
      <c r="G1117" s="125" t="s">
        <v>835</v>
      </c>
      <c r="H1117" s="125"/>
      <c r="I1117" s="125"/>
      <c r="J1117" s="365" t="s">
        <v>6</v>
      </c>
      <c r="K1117" s="350">
        <f>K1116+K1115</f>
        <v>178525.53</v>
      </c>
      <c r="L1117" s="43"/>
      <c r="M1117" s="43"/>
      <c r="N1117" s="43"/>
      <c r="O1117" s="43"/>
      <c r="P1117" s="43"/>
      <c r="Q1117" s="43"/>
      <c r="R1117" s="43">
        <f t="shared" ref="R1117:AA1117" si="877">R1116+R1115</f>
        <v>26688.03</v>
      </c>
      <c r="S1117" s="43">
        <f t="shared" si="877"/>
        <v>18187.5</v>
      </c>
      <c r="T1117" s="43">
        <f t="shared" si="877"/>
        <v>17887.5</v>
      </c>
      <c r="U1117" s="43">
        <f t="shared" si="877"/>
        <v>17587.5</v>
      </c>
      <c r="V1117" s="43">
        <f t="shared" si="877"/>
        <v>17250</v>
      </c>
      <c r="W1117" s="43">
        <f t="shared" si="877"/>
        <v>16912.5</v>
      </c>
      <c r="X1117" s="43">
        <f t="shared" si="877"/>
        <v>16575</v>
      </c>
      <c r="Y1117" s="43">
        <f t="shared" si="877"/>
        <v>16200</v>
      </c>
      <c r="Z1117" s="499">
        <f t="shared" si="877"/>
        <v>15825</v>
      </c>
      <c r="AA1117" s="538">
        <f t="shared" si="877"/>
        <v>15412.5</v>
      </c>
      <c r="AB1117" s="41" t="s">
        <v>11</v>
      </c>
      <c r="AC1117" s="41"/>
      <c r="AD1117" s="41"/>
      <c r="AE1117" s="41"/>
      <c r="AF1117" s="41"/>
      <c r="AG1117" s="41"/>
      <c r="AH1117" s="41"/>
      <c r="AI1117" s="41"/>
      <c r="AJ1117" s="41"/>
      <c r="AK1117" s="41"/>
      <c r="AL1117" s="41"/>
      <c r="AM1117" s="41"/>
      <c r="AN1117" s="41"/>
      <c r="AO1117" s="41"/>
      <c r="AP1117" s="41"/>
      <c r="AQ1117" s="41"/>
      <c r="AR1117" s="41"/>
      <c r="AS1117" s="41"/>
      <c r="AT1117" s="41"/>
    </row>
    <row r="1118" spans="1:46" s="2" customFormat="1" x14ac:dyDescent="0.25">
      <c r="A1118" s="26" t="s">
        <v>98</v>
      </c>
      <c r="B1118" s="26" t="s">
        <v>96</v>
      </c>
      <c r="C1118" s="306"/>
      <c r="D1118" s="54" t="s">
        <v>3</v>
      </c>
      <c r="E1118" s="34">
        <v>42836</v>
      </c>
      <c r="F1118" s="377" t="s">
        <v>258</v>
      </c>
      <c r="G1118" s="35" t="s">
        <v>829</v>
      </c>
      <c r="H1118" s="35">
        <v>31300271</v>
      </c>
      <c r="I1118" s="35">
        <v>585106</v>
      </c>
      <c r="J1118" s="2" t="s">
        <v>1</v>
      </c>
      <c r="K1118" s="27">
        <v>95000</v>
      </c>
      <c r="L1118" s="4"/>
      <c r="M1118" s="4"/>
      <c r="N1118" s="4"/>
      <c r="O1118" s="4"/>
      <c r="P1118" s="283"/>
      <c r="Q1118" s="283"/>
      <c r="R1118" s="283">
        <v>20000</v>
      </c>
      <c r="S1118" s="283">
        <v>20000</v>
      </c>
      <c r="T1118" s="283">
        <v>20000</v>
      </c>
      <c r="U1118" s="283">
        <v>20000</v>
      </c>
      <c r="V1118" s="283">
        <v>15000</v>
      </c>
      <c r="W1118" s="2" t="s">
        <v>11</v>
      </c>
      <c r="Z1118" s="490"/>
      <c r="AA1118" s="60"/>
    </row>
    <row r="1119" spans="1:46" s="2" customFormat="1" x14ac:dyDescent="0.25">
      <c r="A1119" s="400" t="s">
        <v>1045</v>
      </c>
      <c r="B1119" s="26"/>
      <c r="C1119" s="306"/>
      <c r="D1119" s="54"/>
      <c r="E1119" s="34" t="s">
        <v>12</v>
      </c>
      <c r="F1119" s="35"/>
      <c r="G1119" s="35" t="s">
        <v>868</v>
      </c>
      <c r="H1119" s="35" t="s">
        <v>1106</v>
      </c>
      <c r="I1119" s="361"/>
      <c r="J1119" s="17" t="s">
        <v>2</v>
      </c>
      <c r="K1119" s="347">
        <v>5909.58</v>
      </c>
      <c r="L1119" s="11"/>
      <c r="M1119" s="11"/>
      <c r="N1119" s="11"/>
      <c r="O1119" s="11"/>
      <c r="P1119" s="142"/>
      <c r="Q1119" s="142"/>
      <c r="R1119" s="142">
        <f>1015.83+993.75</f>
        <v>2009.58</v>
      </c>
      <c r="S1119" s="142">
        <f>793.75+793.75</f>
        <v>1587.5</v>
      </c>
      <c r="T1119" s="142">
        <f>593.75+593.75</f>
        <v>1187.5</v>
      </c>
      <c r="U1119" s="142">
        <f>393.75+393.75</f>
        <v>787.5</v>
      </c>
      <c r="V1119" s="142">
        <f>168.75+168.75</f>
        <v>337.5</v>
      </c>
      <c r="W1119" s="17" t="s">
        <v>11</v>
      </c>
      <c r="X1119" s="17"/>
      <c r="Y1119" s="17"/>
      <c r="Z1119" s="491"/>
      <c r="AA1119" s="532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17"/>
      <c r="AS1119" s="17"/>
      <c r="AT1119" s="17"/>
    </row>
    <row r="1120" spans="1:46" s="6" customFormat="1" ht="13.8" thickBot="1" x14ac:dyDescent="0.3">
      <c r="A1120" s="409" t="s">
        <v>1124</v>
      </c>
      <c r="B1120" s="120"/>
      <c r="C1120" s="307"/>
      <c r="D1120" s="85"/>
      <c r="E1120" s="86" t="s">
        <v>17</v>
      </c>
      <c r="F1120" s="86" t="s">
        <v>410</v>
      </c>
      <c r="G1120" s="125"/>
      <c r="H1120" s="125"/>
      <c r="I1120" s="125"/>
      <c r="J1120" s="365" t="s">
        <v>6</v>
      </c>
      <c r="K1120" s="350">
        <f>K1119+K1118</f>
        <v>100909.58</v>
      </c>
      <c r="L1120" s="43"/>
      <c r="M1120" s="43"/>
      <c r="N1120" s="43"/>
      <c r="O1120" s="43"/>
      <c r="P1120" s="43"/>
      <c r="Q1120" s="43"/>
      <c r="R1120" s="43">
        <f t="shared" ref="R1120:U1120" si="878">R1119+R1118</f>
        <v>22009.58</v>
      </c>
      <c r="S1120" s="43">
        <f t="shared" si="878"/>
        <v>21587.5</v>
      </c>
      <c r="T1120" s="43">
        <f t="shared" si="878"/>
        <v>21187.5</v>
      </c>
      <c r="U1120" s="43">
        <f t="shared" si="878"/>
        <v>20787.5</v>
      </c>
      <c r="V1120" s="43">
        <f t="shared" ref="V1120" si="879">V1119+V1118</f>
        <v>15337.5</v>
      </c>
      <c r="W1120" s="41" t="s">
        <v>11</v>
      </c>
      <c r="X1120" s="41"/>
      <c r="Y1120" s="41"/>
      <c r="Z1120" s="492"/>
      <c r="AA1120" s="533"/>
      <c r="AB1120" s="41"/>
      <c r="AC1120" s="41"/>
      <c r="AD1120" s="41"/>
      <c r="AE1120" s="41"/>
      <c r="AF1120" s="41"/>
      <c r="AG1120" s="41"/>
      <c r="AH1120" s="41"/>
      <c r="AI1120" s="41"/>
      <c r="AJ1120" s="41"/>
      <c r="AK1120" s="41"/>
      <c r="AL1120" s="41"/>
      <c r="AM1120" s="41"/>
      <c r="AN1120" s="41"/>
      <c r="AO1120" s="41"/>
      <c r="AP1120" s="41"/>
      <c r="AQ1120" s="41"/>
      <c r="AR1120" s="41"/>
      <c r="AS1120" s="41"/>
      <c r="AT1120" s="41"/>
    </row>
    <row r="1121" spans="1:46" s="2" customFormat="1" x14ac:dyDescent="0.25">
      <c r="A1121" s="26" t="s">
        <v>98</v>
      </c>
      <c r="B1121" s="26" t="s">
        <v>96</v>
      </c>
      <c r="C1121" s="306"/>
      <c r="D1121" s="54" t="s">
        <v>3</v>
      </c>
      <c r="E1121" s="284">
        <v>42836</v>
      </c>
      <c r="F1121" s="34" t="s">
        <v>356</v>
      </c>
      <c r="G1121" s="323" t="s">
        <v>869</v>
      </c>
      <c r="H1121" s="323">
        <v>31300271</v>
      </c>
      <c r="I1121" s="323">
        <v>581500</v>
      </c>
      <c r="J1121" s="2" t="s">
        <v>1</v>
      </c>
      <c r="K1121" s="27">
        <v>800000</v>
      </c>
      <c r="L1121" s="4"/>
      <c r="M1121" s="4"/>
      <c r="N1121" s="4"/>
      <c r="O1121" s="4"/>
      <c r="P1121" s="283"/>
      <c r="Q1121" s="283"/>
      <c r="R1121" s="283">
        <v>55000</v>
      </c>
      <c r="S1121" s="283">
        <v>55000</v>
      </c>
      <c r="T1121" s="283">
        <v>55000</v>
      </c>
      <c r="U1121" s="283">
        <v>55000</v>
      </c>
      <c r="V1121" s="283">
        <v>55000</v>
      </c>
      <c r="W1121" s="283">
        <v>55000</v>
      </c>
      <c r="X1121" s="283">
        <v>55000</v>
      </c>
      <c r="Y1121" s="283">
        <v>55000</v>
      </c>
      <c r="Z1121" s="497">
        <v>55000</v>
      </c>
      <c r="AA1121" s="536">
        <v>55000</v>
      </c>
      <c r="AB1121" s="5">
        <v>50000</v>
      </c>
      <c r="AC1121" s="5">
        <v>50000</v>
      </c>
      <c r="AD1121" s="5">
        <v>50000</v>
      </c>
      <c r="AE1121" s="5">
        <v>50000</v>
      </c>
      <c r="AF1121" s="5">
        <v>50000</v>
      </c>
      <c r="AG1121" s="2" t="s">
        <v>11</v>
      </c>
    </row>
    <row r="1122" spans="1:46" s="2" customFormat="1" x14ac:dyDescent="0.25">
      <c r="A1122" s="400" t="s">
        <v>1046</v>
      </c>
      <c r="B1122" s="26"/>
      <c r="C1122" s="306"/>
      <c r="D1122" s="54"/>
      <c r="E1122" s="34" t="s">
        <v>12</v>
      </c>
      <c r="F1122" s="35"/>
      <c r="G1122" s="35" t="s">
        <v>870</v>
      </c>
      <c r="H1122" s="146" t="s">
        <v>1107</v>
      </c>
      <c r="I1122" s="361"/>
      <c r="J1122" s="17" t="s">
        <v>2</v>
      </c>
      <c r="K1122" s="347">
        <v>170874.03</v>
      </c>
      <c r="L1122" s="11"/>
      <c r="M1122" s="11"/>
      <c r="N1122" s="11"/>
      <c r="O1122" s="11"/>
      <c r="P1122" s="142"/>
      <c r="Q1122" s="142"/>
      <c r="R1122" s="142">
        <f>10305.28+10081.25</f>
        <v>20386.53</v>
      </c>
      <c r="S1122" s="142">
        <f>9531.25+9531.25</f>
        <v>19062.5</v>
      </c>
      <c r="T1122" s="142">
        <f>8981.25+8981.25</f>
        <v>17962.5</v>
      </c>
      <c r="U1122" s="142">
        <f>8431.25+8431.25</f>
        <v>16862.5</v>
      </c>
      <c r="V1122" s="142">
        <f>7812.5+7812.5</f>
        <v>15625</v>
      </c>
      <c r="W1122" s="142">
        <f>7193.75+7193.75</f>
        <v>14387.5</v>
      </c>
      <c r="X1122" s="142">
        <f>6575+6575</f>
        <v>13150</v>
      </c>
      <c r="Y1122" s="142">
        <f>5887.5+5887.5</f>
        <v>11775</v>
      </c>
      <c r="Z1122" s="500">
        <f>5200+5200</f>
        <v>10400</v>
      </c>
      <c r="AA1122" s="539">
        <f>4443.75+4443.75</f>
        <v>8887.5</v>
      </c>
      <c r="AB1122" s="21">
        <f>3687.5+3687.5</f>
        <v>7375</v>
      </c>
      <c r="AC1122" s="21">
        <f>3000+3000</f>
        <v>6000</v>
      </c>
      <c r="AD1122" s="21">
        <f>2250+2250</f>
        <v>4500</v>
      </c>
      <c r="AE1122" s="21">
        <f>1500+1500</f>
        <v>3000</v>
      </c>
      <c r="AF1122" s="21">
        <f>750+750</f>
        <v>1500</v>
      </c>
      <c r="AG1122" s="17" t="s">
        <v>11</v>
      </c>
      <c r="AH1122" s="17"/>
      <c r="AI1122" s="17"/>
      <c r="AJ1122" s="17"/>
      <c r="AK1122" s="17"/>
      <c r="AL1122" s="17"/>
      <c r="AM1122" s="17"/>
      <c r="AN1122" s="17"/>
      <c r="AO1122" s="17"/>
      <c r="AP1122" s="17"/>
      <c r="AQ1122" s="17"/>
      <c r="AR1122" s="17"/>
      <c r="AS1122" s="17"/>
      <c r="AT1122" s="17"/>
    </row>
    <row r="1123" spans="1:46" s="6" customFormat="1" ht="13.8" thickBot="1" x14ac:dyDescent="0.3">
      <c r="A1123" s="409" t="s">
        <v>1119</v>
      </c>
      <c r="B1123" s="120"/>
      <c r="C1123" s="307"/>
      <c r="D1123" s="85"/>
      <c r="E1123" s="86" t="s">
        <v>17</v>
      </c>
      <c r="F1123" s="86" t="s">
        <v>408</v>
      </c>
      <c r="G1123" s="35" t="s">
        <v>871</v>
      </c>
      <c r="H1123" s="35"/>
      <c r="I1123" s="35"/>
      <c r="J1123" s="365" t="s">
        <v>6</v>
      </c>
      <c r="K1123" s="350">
        <f>K1122+K1121</f>
        <v>970874.03</v>
      </c>
      <c r="L1123" s="43"/>
      <c r="M1123" s="43"/>
      <c r="N1123" s="43"/>
      <c r="O1123" s="43"/>
      <c r="P1123" s="43"/>
      <c r="Q1123" s="43"/>
      <c r="R1123" s="43">
        <f t="shared" ref="R1123:Z1123" si="880">R1122+R1121</f>
        <v>75386.53</v>
      </c>
      <c r="S1123" s="43">
        <f t="shared" si="880"/>
        <v>74062.5</v>
      </c>
      <c r="T1123" s="43">
        <f t="shared" si="880"/>
        <v>72962.5</v>
      </c>
      <c r="U1123" s="43">
        <f t="shared" si="880"/>
        <v>71862.5</v>
      </c>
      <c r="V1123" s="43">
        <f t="shared" si="880"/>
        <v>70625</v>
      </c>
      <c r="W1123" s="43">
        <f t="shared" si="880"/>
        <v>69387.5</v>
      </c>
      <c r="X1123" s="43">
        <f t="shared" si="880"/>
        <v>68150</v>
      </c>
      <c r="Y1123" s="43">
        <f t="shared" si="880"/>
        <v>66775</v>
      </c>
      <c r="Z1123" s="499">
        <f t="shared" si="880"/>
        <v>65400</v>
      </c>
      <c r="AA1123" s="538">
        <f t="shared" ref="AA1123:AF1123" si="881">AA1122+AA1121</f>
        <v>63887.5</v>
      </c>
      <c r="AB1123" s="43">
        <f t="shared" si="881"/>
        <v>57375</v>
      </c>
      <c r="AC1123" s="43">
        <f t="shared" si="881"/>
        <v>56000</v>
      </c>
      <c r="AD1123" s="43">
        <f t="shared" si="881"/>
        <v>54500</v>
      </c>
      <c r="AE1123" s="43">
        <f t="shared" si="881"/>
        <v>53000</v>
      </c>
      <c r="AF1123" s="43">
        <f t="shared" si="881"/>
        <v>51500</v>
      </c>
      <c r="AG1123" s="41" t="s">
        <v>11</v>
      </c>
      <c r="AH1123" s="41"/>
      <c r="AI1123" s="41"/>
      <c r="AJ1123" s="41"/>
      <c r="AK1123" s="41"/>
      <c r="AL1123" s="41"/>
      <c r="AM1123" s="41"/>
      <c r="AN1123" s="41"/>
      <c r="AO1123" s="41"/>
      <c r="AP1123" s="41"/>
      <c r="AQ1123" s="41"/>
      <c r="AR1123" s="41"/>
      <c r="AS1123" s="41"/>
      <c r="AT1123" s="41"/>
    </row>
    <row r="1124" spans="1:46" s="2" customFormat="1" x14ac:dyDescent="0.25">
      <c r="A1124" s="26" t="s">
        <v>99</v>
      </c>
      <c r="B1124" s="26" t="s">
        <v>96</v>
      </c>
      <c r="C1124" s="306"/>
      <c r="D1124" s="54" t="s">
        <v>3</v>
      </c>
      <c r="E1124" s="284">
        <v>42836</v>
      </c>
      <c r="F1124" s="34" t="s">
        <v>266</v>
      </c>
      <c r="G1124" s="469" t="s">
        <v>872</v>
      </c>
      <c r="H1124" s="469">
        <v>31422248</v>
      </c>
      <c r="I1124" s="469">
        <v>584014</v>
      </c>
      <c r="J1124" s="2" t="s">
        <v>1</v>
      </c>
      <c r="K1124" s="27">
        <v>50000</v>
      </c>
      <c r="L1124" s="4"/>
      <c r="M1124" s="4"/>
      <c r="N1124" s="4"/>
      <c r="O1124" s="4"/>
      <c r="P1124" s="283"/>
      <c r="Q1124" s="283"/>
      <c r="R1124" s="283">
        <v>10000</v>
      </c>
      <c r="S1124" s="283">
        <v>10000</v>
      </c>
      <c r="T1124" s="283">
        <v>10000</v>
      </c>
      <c r="U1124" s="283">
        <v>10000</v>
      </c>
      <c r="V1124" s="283">
        <v>10000</v>
      </c>
      <c r="W1124" s="2" t="s">
        <v>11</v>
      </c>
      <c r="Z1124" s="490"/>
      <c r="AA1124" s="60"/>
    </row>
    <row r="1125" spans="1:46" s="2" customFormat="1" x14ac:dyDescent="0.25">
      <c r="A1125" s="400" t="s">
        <v>1047</v>
      </c>
      <c r="B1125" s="26"/>
      <c r="C1125" s="306"/>
      <c r="D1125" s="54"/>
      <c r="E1125" s="34" t="s">
        <v>12</v>
      </c>
      <c r="F1125" s="35"/>
      <c r="G1125" s="35" t="s">
        <v>873</v>
      </c>
      <c r="H1125" s="35" t="s">
        <v>1106</v>
      </c>
      <c r="I1125" s="35"/>
      <c r="J1125" s="17" t="s">
        <v>2</v>
      </c>
      <c r="K1125" s="347">
        <v>3236.67</v>
      </c>
      <c r="L1125" s="11"/>
      <c r="M1125" s="11"/>
      <c r="N1125" s="11"/>
      <c r="O1125" s="11"/>
      <c r="P1125" s="142"/>
      <c r="Q1125" s="142"/>
      <c r="R1125" s="142">
        <f>536.67+525</f>
        <v>1061.67</v>
      </c>
      <c r="S1125" s="142">
        <f>425+425</f>
        <v>850</v>
      </c>
      <c r="T1125" s="142">
        <f>325+325</f>
        <v>650</v>
      </c>
      <c r="U1125" s="142">
        <f>225+225</f>
        <v>450</v>
      </c>
      <c r="V1125" s="142">
        <f>112.5+112.5</f>
        <v>225</v>
      </c>
      <c r="W1125" s="17" t="s">
        <v>11</v>
      </c>
      <c r="X1125" s="17"/>
      <c r="Y1125" s="17"/>
      <c r="Z1125" s="491"/>
      <c r="AA1125" s="532"/>
      <c r="AB1125" s="17"/>
      <c r="AC1125" s="17"/>
      <c r="AD1125" s="17"/>
      <c r="AE1125" s="17"/>
      <c r="AF1125" s="17"/>
      <c r="AG1125" s="17"/>
      <c r="AH1125" s="17"/>
      <c r="AI1125" s="17"/>
      <c r="AJ1125" s="17"/>
      <c r="AK1125" s="17"/>
      <c r="AL1125" s="17"/>
      <c r="AM1125" s="17"/>
      <c r="AN1125" s="17"/>
      <c r="AO1125" s="17"/>
      <c r="AP1125" s="17"/>
      <c r="AQ1125" s="17"/>
      <c r="AR1125" s="17"/>
      <c r="AS1125" s="17"/>
      <c r="AT1125" s="17"/>
    </row>
    <row r="1126" spans="1:46" s="6" customFormat="1" ht="13.8" thickBot="1" x14ac:dyDescent="0.3">
      <c r="A1126" s="409" t="s">
        <v>1124</v>
      </c>
      <c r="B1126" s="120"/>
      <c r="C1126" s="307"/>
      <c r="D1126" s="85"/>
      <c r="E1126" s="86" t="s">
        <v>15</v>
      </c>
      <c r="F1126" s="86" t="s">
        <v>410</v>
      </c>
      <c r="G1126" s="125"/>
      <c r="H1126" s="125"/>
      <c r="I1126" s="125"/>
      <c r="J1126" s="365" t="s">
        <v>6</v>
      </c>
      <c r="K1126" s="350">
        <f>K1125+K1124</f>
        <v>53236.67</v>
      </c>
      <c r="L1126" s="43"/>
      <c r="M1126" s="43"/>
      <c r="N1126" s="43"/>
      <c r="O1126" s="43"/>
      <c r="P1126" s="43"/>
      <c r="Q1126" s="43"/>
      <c r="R1126" s="43">
        <f t="shared" ref="R1126:V1126" si="882">R1125+R1124</f>
        <v>11061.67</v>
      </c>
      <c r="S1126" s="43">
        <f t="shared" si="882"/>
        <v>10850</v>
      </c>
      <c r="T1126" s="43">
        <f t="shared" si="882"/>
        <v>10650</v>
      </c>
      <c r="U1126" s="43">
        <f t="shared" si="882"/>
        <v>10450</v>
      </c>
      <c r="V1126" s="43">
        <f t="shared" si="882"/>
        <v>10225</v>
      </c>
      <c r="W1126" s="41" t="s">
        <v>11</v>
      </c>
      <c r="X1126" s="41"/>
      <c r="Y1126" s="41"/>
      <c r="Z1126" s="492"/>
      <c r="AA1126" s="533"/>
      <c r="AB1126" s="41"/>
      <c r="AC1126" s="41"/>
      <c r="AD1126" s="41"/>
      <c r="AE1126" s="41"/>
      <c r="AF1126" s="41"/>
      <c r="AG1126" s="41"/>
      <c r="AH1126" s="41"/>
      <c r="AI1126" s="41"/>
      <c r="AJ1126" s="41"/>
      <c r="AK1126" s="41"/>
      <c r="AL1126" s="41"/>
      <c r="AM1126" s="41"/>
      <c r="AN1126" s="41"/>
      <c r="AO1126" s="41"/>
      <c r="AP1126" s="41"/>
      <c r="AQ1126" s="41"/>
      <c r="AR1126" s="41"/>
      <c r="AS1126" s="41"/>
      <c r="AT1126" s="41"/>
    </row>
    <row r="1127" spans="1:46" s="3" customFormat="1" x14ac:dyDescent="0.25">
      <c r="A1127" s="121"/>
      <c r="B1127" s="121"/>
      <c r="C1127" s="306"/>
      <c r="D1127" s="54"/>
      <c r="E1127" s="54"/>
      <c r="F1127" s="54"/>
      <c r="G1127" s="36" t="s">
        <v>32</v>
      </c>
      <c r="H1127" s="152">
        <v>1774219</v>
      </c>
      <c r="I1127" s="36">
        <v>591100</v>
      </c>
      <c r="J1127" s="33" t="s">
        <v>1</v>
      </c>
      <c r="K1127" s="37">
        <f>K1094+K1097+K1100+K1103+K1106+K1109+K1112+K1115+K1118+K1121+K1124</f>
        <v>2958000</v>
      </c>
      <c r="L1127" s="7"/>
      <c r="M1127" s="7"/>
      <c r="N1127" s="67"/>
      <c r="O1127" s="67"/>
      <c r="P1127" s="67"/>
      <c r="Q1127" s="67"/>
      <c r="R1127" s="67">
        <f>R1094+R1097+R1100+R1103+R1106+R1109+R1112+R1115+R1118+R1121+R1124</f>
        <v>328000</v>
      </c>
      <c r="S1127" s="67">
        <f t="shared" ref="S1127:V1127" si="883">S1094+S1097+S1100+S1103+S1106+S1109+S1112+S1115+S1118+S1121+S1124</f>
        <v>315000</v>
      </c>
      <c r="T1127" s="67">
        <f t="shared" si="883"/>
        <v>310000</v>
      </c>
      <c r="U1127" s="67">
        <f t="shared" si="883"/>
        <v>305000</v>
      </c>
      <c r="V1127" s="67">
        <f t="shared" si="883"/>
        <v>300000</v>
      </c>
      <c r="W1127" s="67">
        <f>W1094+W1100+W1103+W1106+W1112+W1115+W1121</f>
        <v>185000</v>
      </c>
      <c r="X1127" s="67">
        <f t="shared" ref="X1127:AA1127" si="884">X1094+X1100+X1103+X1106+X1112+X1115+X1121</f>
        <v>185000</v>
      </c>
      <c r="Y1127" s="67">
        <f t="shared" si="884"/>
        <v>185000</v>
      </c>
      <c r="Z1127" s="507">
        <f t="shared" si="884"/>
        <v>185000</v>
      </c>
      <c r="AA1127" s="546">
        <f t="shared" si="884"/>
        <v>185000</v>
      </c>
      <c r="AB1127" s="67">
        <f>AB1100+AB1103+AB1121</f>
        <v>95000</v>
      </c>
      <c r="AC1127" s="67">
        <f t="shared" ref="AC1127:AF1127" si="885">AC1100+AC1103+AC1121</f>
        <v>95000</v>
      </c>
      <c r="AD1127" s="67">
        <f t="shared" si="885"/>
        <v>95000</v>
      </c>
      <c r="AE1127" s="67">
        <f t="shared" si="885"/>
        <v>95000</v>
      </c>
      <c r="AF1127" s="67">
        <f t="shared" si="885"/>
        <v>95000</v>
      </c>
      <c r="AG1127" s="3" t="s">
        <v>11</v>
      </c>
    </row>
    <row r="1128" spans="1:46" s="3" customFormat="1" x14ac:dyDescent="0.25">
      <c r="A1128" s="121"/>
      <c r="B1128" s="121"/>
      <c r="C1128" s="306"/>
      <c r="D1128" s="54"/>
      <c r="E1128" s="54"/>
      <c r="F1128" s="54"/>
      <c r="G1128" s="33"/>
      <c r="H1128" s="152">
        <v>1774219</v>
      </c>
      <c r="I1128" s="33">
        <v>595100</v>
      </c>
      <c r="J1128" s="38" t="s">
        <v>2</v>
      </c>
      <c r="K1128" s="37">
        <f>K1095+K1098+K1101+K1104+K1107+K1110+K1113+K1116+K1119+K1122+K1125</f>
        <v>473390.81</v>
      </c>
      <c r="L1128" s="16"/>
      <c r="M1128" s="16"/>
      <c r="N1128" s="7"/>
      <c r="O1128" s="7"/>
      <c r="P1128" s="7"/>
      <c r="Q1128" s="7"/>
      <c r="R1128" s="7">
        <f>R1095+R1098+R1101+R1104+R1107+R1110+R1113+R1116+R1119+R1122+R1125</f>
        <v>71053.31</v>
      </c>
      <c r="S1128" s="7">
        <f t="shared" ref="S1128:V1128" si="886">S1095+S1098+S1101+S1104+S1107+S1110+S1113+S1116+S1119+S1122+S1125</f>
        <v>63712.5</v>
      </c>
      <c r="T1128" s="7">
        <f t="shared" si="886"/>
        <v>57412.5</v>
      </c>
      <c r="U1128" s="7">
        <f t="shared" si="886"/>
        <v>51212.5</v>
      </c>
      <c r="V1128" s="7">
        <f t="shared" si="886"/>
        <v>44350</v>
      </c>
      <c r="W1128" s="7">
        <f>W1095+W1101+W1104+W1107+W1113+W1116+W1122</f>
        <v>37600</v>
      </c>
      <c r="X1128" s="7">
        <f t="shared" ref="X1128:AA1128" si="887">X1095+X1101+X1104+X1107+X1113+X1116+X1122</f>
        <v>33437.5</v>
      </c>
      <c r="Y1128" s="7">
        <f t="shared" si="887"/>
        <v>28812.5</v>
      </c>
      <c r="Z1128" s="501">
        <f t="shared" si="887"/>
        <v>24187.5</v>
      </c>
      <c r="AA1128" s="540">
        <f t="shared" si="887"/>
        <v>19100</v>
      </c>
      <c r="AB1128" s="7">
        <f>AB1101+AB1104+AB1122</f>
        <v>14012.5</v>
      </c>
      <c r="AC1128" s="7">
        <f t="shared" ref="AC1128:AF1128" si="888">AC1101+AC1104+AC1122</f>
        <v>11400</v>
      </c>
      <c r="AD1128" s="7">
        <f t="shared" si="888"/>
        <v>8550</v>
      </c>
      <c r="AE1128" s="7">
        <f t="shared" si="888"/>
        <v>5700</v>
      </c>
      <c r="AF1128" s="7">
        <f t="shared" si="888"/>
        <v>2850</v>
      </c>
      <c r="AG1128" s="20" t="s">
        <v>11</v>
      </c>
      <c r="AH1128" s="20"/>
      <c r="AI1128" s="20"/>
      <c r="AJ1128" s="20"/>
      <c r="AK1128" s="20"/>
      <c r="AL1128" s="20"/>
      <c r="AM1128" s="20"/>
      <c r="AN1128" s="20"/>
      <c r="AO1128" s="20"/>
      <c r="AP1128" s="20"/>
      <c r="AQ1128" s="20"/>
      <c r="AR1128" s="20"/>
      <c r="AS1128" s="20"/>
      <c r="AT1128" s="20"/>
    </row>
    <row r="1129" spans="1:46" s="8" customFormat="1" ht="13.8" thickBot="1" x14ac:dyDescent="0.3">
      <c r="A1129" s="122"/>
      <c r="B1129" s="122"/>
      <c r="C1129" s="307"/>
      <c r="D1129" s="85"/>
      <c r="E1129" s="85"/>
      <c r="F1129" s="85"/>
      <c r="G1129" s="85"/>
      <c r="H1129" s="85"/>
      <c r="I1129" s="85"/>
      <c r="J1129" s="44" t="s">
        <v>5</v>
      </c>
      <c r="K1129" s="45">
        <f>K1128+K1127</f>
        <v>3431390.81</v>
      </c>
      <c r="L1129" s="46"/>
      <c r="M1129" s="46"/>
      <c r="N1129" s="46"/>
      <c r="O1129" s="46"/>
      <c r="P1129" s="46"/>
      <c r="Q1129" s="46"/>
      <c r="R1129" s="46">
        <f t="shared" ref="R1129:AE1129" si="889">R1128+R1127</f>
        <v>399053.31</v>
      </c>
      <c r="S1129" s="46">
        <f t="shared" si="889"/>
        <v>378712.5</v>
      </c>
      <c r="T1129" s="46">
        <f t="shared" si="889"/>
        <v>367412.5</v>
      </c>
      <c r="U1129" s="46">
        <f t="shared" si="889"/>
        <v>356212.5</v>
      </c>
      <c r="V1129" s="46">
        <f t="shared" si="889"/>
        <v>344350</v>
      </c>
      <c r="W1129" s="46">
        <f t="shared" si="889"/>
        <v>222600</v>
      </c>
      <c r="X1129" s="46">
        <f t="shared" si="889"/>
        <v>218437.5</v>
      </c>
      <c r="Y1129" s="46">
        <f t="shared" si="889"/>
        <v>213812.5</v>
      </c>
      <c r="Z1129" s="503">
        <f t="shared" si="889"/>
        <v>209187.5</v>
      </c>
      <c r="AA1129" s="542">
        <f t="shared" si="889"/>
        <v>204100</v>
      </c>
      <c r="AB1129" s="46">
        <f t="shared" si="889"/>
        <v>109012.5</v>
      </c>
      <c r="AC1129" s="46">
        <f t="shared" si="889"/>
        <v>106400</v>
      </c>
      <c r="AD1129" s="46">
        <f t="shared" si="889"/>
        <v>103550</v>
      </c>
      <c r="AE1129" s="46">
        <f t="shared" si="889"/>
        <v>100700</v>
      </c>
      <c r="AF1129" s="46">
        <f t="shared" ref="AF1129" si="890">AF1128+AF1127</f>
        <v>97850</v>
      </c>
      <c r="AG1129" s="47" t="s">
        <v>11</v>
      </c>
      <c r="AH1129" s="47"/>
      <c r="AI1129" s="47"/>
      <c r="AJ1129" s="47"/>
      <c r="AK1129" s="47"/>
      <c r="AL1129" s="47"/>
      <c r="AM1129" s="47"/>
      <c r="AN1129" s="47"/>
      <c r="AO1129" s="47"/>
      <c r="AP1129" s="47"/>
      <c r="AQ1129" s="47"/>
      <c r="AR1129" s="47"/>
      <c r="AS1129" s="47"/>
      <c r="AT1129" s="47"/>
    </row>
    <row r="1130" spans="1:46" s="6" customFormat="1" x14ac:dyDescent="0.25">
      <c r="A1130" s="26" t="s">
        <v>4</v>
      </c>
      <c r="B1130" s="26" t="s">
        <v>97</v>
      </c>
      <c r="C1130" s="306"/>
      <c r="D1130" s="10" t="s">
        <v>4</v>
      </c>
      <c r="E1130" s="25">
        <v>42836</v>
      </c>
      <c r="F1130" s="25" t="s">
        <v>267</v>
      </c>
      <c r="G1130" s="316" t="s">
        <v>794</v>
      </c>
      <c r="H1130" s="316">
        <v>61317274</v>
      </c>
      <c r="I1130" s="316">
        <v>586101</v>
      </c>
      <c r="J1130" s="2" t="s">
        <v>1</v>
      </c>
      <c r="K1130" s="27">
        <v>804000</v>
      </c>
      <c r="L1130" s="4"/>
      <c r="M1130" s="4"/>
      <c r="N1130" s="4"/>
      <c r="O1130" s="4"/>
      <c r="P1130" s="283"/>
      <c r="Q1130" s="283"/>
      <c r="R1130" s="283">
        <v>59000</v>
      </c>
      <c r="S1130" s="283">
        <v>55000</v>
      </c>
      <c r="T1130" s="283">
        <v>55000</v>
      </c>
      <c r="U1130" s="283">
        <v>55000</v>
      </c>
      <c r="V1130" s="283">
        <v>55000</v>
      </c>
      <c r="W1130" s="283">
        <v>55000</v>
      </c>
      <c r="X1130" s="283">
        <v>55000</v>
      </c>
      <c r="Y1130" s="283">
        <v>55000</v>
      </c>
      <c r="Z1130" s="497">
        <v>55000</v>
      </c>
      <c r="AA1130" s="536">
        <v>55000</v>
      </c>
      <c r="AB1130" s="283">
        <v>50000</v>
      </c>
      <c r="AC1130" s="283">
        <v>50000</v>
      </c>
      <c r="AD1130" s="283">
        <v>50000</v>
      </c>
      <c r="AE1130" s="283">
        <v>50000</v>
      </c>
      <c r="AF1130" s="283">
        <v>50000</v>
      </c>
      <c r="AG1130" s="2" t="s">
        <v>11</v>
      </c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</row>
    <row r="1131" spans="1:46" s="6" customFormat="1" x14ac:dyDescent="0.25">
      <c r="A1131" s="400" t="s">
        <v>1048</v>
      </c>
      <c r="B1131" s="26"/>
      <c r="C1131" s="306"/>
      <c r="D1131" s="84"/>
      <c r="E1131" s="317" t="s">
        <v>13</v>
      </c>
      <c r="F1131" s="25"/>
      <c r="G1131" s="12" t="s">
        <v>854</v>
      </c>
      <c r="H1131" s="12" t="s">
        <v>1107</v>
      </c>
      <c r="I1131" s="354"/>
      <c r="J1131" s="17" t="s">
        <v>2</v>
      </c>
      <c r="K1131" s="28">
        <v>170954.92</v>
      </c>
      <c r="L1131" s="11"/>
      <c r="M1131" s="11"/>
      <c r="N1131" s="11"/>
      <c r="O1131" s="11"/>
      <c r="P1131" s="142"/>
      <c r="Q1131" s="142"/>
      <c r="R1131" s="142">
        <f>10346.17+10121.25</f>
        <v>20467.419999999998</v>
      </c>
      <c r="S1131" s="142">
        <f>9531.25+9531.25</f>
        <v>19062.5</v>
      </c>
      <c r="T1131" s="142">
        <f>8981.25+8981.25</f>
        <v>17962.5</v>
      </c>
      <c r="U1131" s="142">
        <f>8431.25+8431.25</f>
        <v>16862.5</v>
      </c>
      <c r="V1131" s="142">
        <f>7812.5+7812.5</f>
        <v>15625</v>
      </c>
      <c r="W1131" s="142">
        <f>7193.75+7193.75</f>
        <v>14387.5</v>
      </c>
      <c r="X1131" s="142">
        <f>6575+6575</f>
        <v>13150</v>
      </c>
      <c r="Y1131" s="142">
        <f>5887.5+5887.5</f>
        <v>11775</v>
      </c>
      <c r="Z1131" s="500">
        <f>5200+5200</f>
        <v>10400</v>
      </c>
      <c r="AA1131" s="539">
        <f>4443.75+4443.75</f>
        <v>8887.5</v>
      </c>
      <c r="AB1131" s="142">
        <f>3687.5+3687.5</f>
        <v>7375</v>
      </c>
      <c r="AC1131" s="142">
        <f>3000+3000</f>
        <v>6000</v>
      </c>
      <c r="AD1131" s="142">
        <f>2250+2250</f>
        <v>4500</v>
      </c>
      <c r="AE1131" s="142">
        <f>1500+1500</f>
        <v>3000</v>
      </c>
      <c r="AF1131" s="142">
        <f>750+750</f>
        <v>1500</v>
      </c>
      <c r="AG1131" s="17" t="s">
        <v>11</v>
      </c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</row>
    <row r="1132" spans="1:46" s="6" customFormat="1" ht="13.8" thickBot="1" x14ac:dyDescent="0.3">
      <c r="A1132" s="409" t="s">
        <v>1119</v>
      </c>
      <c r="B1132" s="120"/>
      <c r="C1132" s="307"/>
      <c r="D1132" s="89"/>
      <c r="E1132" s="90" t="s">
        <v>16</v>
      </c>
      <c r="F1132" s="90" t="s">
        <v>407</v>
      </c>
      <c r="G1132" s="355" t="s">
        <v>855</v>
      </c>
      <c r="H1132" s="124"/>
      <c r="I1132" s="124"/>
      <c r="J1132" s="41" t="s">
        <v>6</v>
      </c>
      <c r="K1132" s="42">
        <f>K1131+K1130</f>
        <v>974954.92</v>
      </c>
      <c r="L1132" s="43"/>
      <c r="M1132" s="43"/>
      <c r="N1132" s="43"/>
      <c r="O1132" s="43"/>
      <c r="P1132" s="43"/>
      <c r="Q1132" s="43"/>
      <c r="R1132" s="43">
        <f t="shared" ref="R1132:AF1132" si="891">R1131+R1130</f>
        <v>79467.42</v>
      </c>
      <c r="S1132" s="43">
        <f t="shared" si="891"/>
        <v>74062.5</v>
      </c>
      <c r="T1132" s="43">
        <f t="shared" si="891"/>
        <v>72962.5</v>
      </c>
      <c r="U1132" s="43">
        <f t="shared" si="891"/>
        <v>71862.5</v>
      </c>
      <c r="V1132" s="43">
        <f t="shared" si="891"/>
        <v>70625</v>
      </c>
      <c r="W1132" s="43">
        <f t="shared" si="891"/>
        <v>69387.5</v>
      </c>
      <c r="X1132" s="43">
        <f t="shared" si="891"/>
        <v>68150</v>
      </c>
      <c r="Y1132" s="43">
        <f t="shared" si="891"/>
        <v>66775</v>
      </c>
      <c r="Z1132" s="499">
        <f t="shared" si="891"/>
        <v>65400</v>
      </c>
      <c r="AA1132" s="538">
        <f t="shared" si="891"/>
        <v>63887.5</v>
      </c>
      <c r="AB1132" s="43">
        <f t="shared" si="891"/>
        <v>57375</v>
      </c>
      <c r="AC1132" s="43">
        <f t="shared" si="891"/>
        <v>56000</v>
      </c>
      <c r="AD1132" s="43">
        <f t="shared" si="891"/>
        <v>54500</v>
      </c>
      <c r="AE1132" s="43">
        <f t="shared" si="891"/>
        <v>53000</v>
      </c>
      <c r="AF1132" s="43">
        <f t="shared" si="891"/>
        <v>51500</v>
      </c>
      <c r="AG1132" s="41" t="s">
        <v>11</v>
      </c>
      <c r="AH1132" s="41"/>
      <c r="AI1132" s="41"/>
      <c r="AJ1132" s="41"/>
      <c r="AK1132" s="41"/>
      <c r="AL1132" s="41"/>
      <c r="AM1132" s="41"/>
      <c r="AN1132" s="41"/>
      <c r="AO1132" s="41"/>
      <c r="AP1132" s="41"/>
      <c r="AQ1132" s="41"/>
      <c r="AR1132" s="41"/>
      <c r="AS1132" s="41"/>
      <c r="AT1132" s="41"/>
    </row>
    <row r="1133" spans="1:46" s="8" customFormat="1" x14ac:dyDescent="0.25">
      <c r="A1133" s="121"/>
      <c r="B1133" s="121"/>
      <c r="C1133" s="306"/>
      <c r="D1133" s="55"/>
      <c r="E1133" s="55"/>
      <c r="F1133" s="55"/>
      <c r="G1133" s="9" t="s">
        <v>7</v>
      </c>
      <c r="H1133" s="9">
        <v>61774219</v>
      </c>
      <c r="I1133" s="9">
        <v>591100</v>
      </c>
      <c r="J1133" s="10" t="s">
        <v>1</v>
      </c>
      <c r="K1133" s="31">
        <f>K1130</f>
        <v>804000</v>
      </c>
      <c r="L1133" s="7"/>
      <c r="M1133" s="7"/>
      <c r="N1133" s="67"/>
      <c r="O1133" s="67"/>
      <c r="P1133" s="67"/>
      <c r="Q1133" s="67"/>
      <c r="R1133" s="67">
        <f>R1130</f>
        <v>59000</v>
      </c>
      <c r="S1133" s="67">
        <f t="shared" ref="S1133:AF1134" si="892">S1130</f>
        <v>55000</v>
      </c>
      <c r="T1133" s="67">
        <f t="shared" si="892"/>
        <v>55000</v>
      </c>
      <c r="U1133" s="67">
        <f t="shared" si="892"/>
        <v>55000</v>
      </c>
      <c r="V1133" s="67">
        <f t="shared" si="892"/>
        <v>55000</v>
      </c>
      <c r="W1133" s="67">
        <f t="shared" si="892"/>
        <v>55000</v>
      </c>
      <c r="X1133" s="67">
        <f t="shared" si="892"/>
        <v>55000</v>
      </c>
      <c r="Y1133" s="67">
        <f t="shared" si="892"/>
        <v>55000</v>
      </c>
      <c r="Z1133" s="507">
        <f t="shared" si="892"/>
        <v>55000</v>
      </c>
      <c r="AA1133" s="546">
        <f t="shared" si="892"/>
        <v>55000</v>
      </c>
      <c r="AB1133" s="67">
        <f t="shared" si="892"/>
        <v>50000</v>
      </c>
      <c r="AC1133" s="67">
        <f t="shared" si="892"/>
        <v>50000</v>
      </c>
      <c r="AD1133" s="67">
        <f t="shared" si="892"/>
        <v>50000</v>
      </c>
      <c r="AE1133" s="67">
        <f t="shared" si="892"/>
        <v>50000</v>
      </c>
      <c r="AF1133" s="67">
        <f t="shared" si="892"/>
        <v>50000</v>
      </c>
      <c r="AG1133" s="3" t="s">
        <v>11</v>
      </c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</row>
    <row r="1134" spans="1:46" s="8" customFormat="1" x14ac:dyDescent="0.25">
      <c r="A1134" s="121"/>
      <c r="B1134" s="121"/>
      <c r="C1134" s="306"/>
      <c r="D1134" s="10"/>
      <c r="E1134" s="10"/>
      <c r="F1134" s="10"/>
      <c r="G1134" s="10"/>
      <c r="H1134" s="9">
        <v>61774219</v>
      </c>
      <c r="I1134" s="10">
        <v>595100</v>
      </c>
      <c r="J1134" s="19" t="s">
        <v>2</v>
      </c>
      <c r="K1134" s="31">
        <f>K1131</f>
        <v>170954.92</v>
      </c>
      <c r="L1134" s="16"/>
      <c r="M1134" s="16"/>
      <c r="N1134" s="16"/>
      <c r="O1134" s="16"/>
      <c r="P1134" s="16"/>
      <c r="Q1134" s="16"/>
      <c r="R1134" s="16">
        <f>R1131</f>
        <v>20467.419999999998</v>
      </c>
      <c r="S1134" s="16">
        <f t="shared" ref="S1134:AE1134" si="893">S1131</f>
        <v>19062.5</v>
      </c>
      <c r="T1134" s="16">
        <f t="shared" si="893"/>
        <v>17962.5</v>
      </c>
      <c r="U1134" s="16">
        <f t="shared" si="893"/>
        <v>16862.5</v>
      </c>
      <c r="V1134" s="16">
        <f t="shared" si="893"/>
        <v>15625</v>
      </c>
      <c r="W1134" s="16">
        <f t="shared" si="893"/>
        <v>14387.5</v>
      </c>
      <c r="X1134" s="16">
        <f t="shared" si="893"/>
        <v>13150</v>
      </c>
      <c r="Y1134" s="16">
        <f t="shared" si="893"/>
        <v>11775</v>
      </c>
      <c r="Z1134" s="502">
        <f t="shared" si="893"/>
        <v>10400</v>
      </c>
      <c r="AA1134" s="541">
        <f t="shared" si="893"/>
        <v>8887.5</v>
      </c>
      <c r="AB1134" s="16">
        <f t="shared" si="893"/>
        <v>7375</v>
      </c>
      <c r="AC1134" s="16">
        <f t="shared" si="893"/>
        <v>6000</v>
      </c>
      <c r="AD1134" s="16">
        <f t="shared" si="893"/>
        <v>4500</v>
      </c>
      <c r="AE1134" s="16">
        <f t="shared" si="893"/>
        <v>3000</v>
      </c>
      <c r="AF1134" s="16">
        <f t="shared" si="892"/>
        <v>1500</v>
      </c>
      <c r="AG1134" s="20" t="s">
        <v>11</v>
      </c>
      <c r="AH1134" s="20"/>
      <c r="AI1134" s="20"/>
      <c r="AJ1134" s="20"/>
      <c r="AK1134" s="20"/>
      <c r="AL1134" s="20"/>
      <c r="AM1134" s="20"/>
      <c r="AN1134" s="20"/>
      <c r="AO1134" s="20"/>
      <c r="AP1134" s="20"/>
      <c r="AQ1134" s="20"/>
      <c r="AR1134" s="20"/>
      <c r="AS1134" s="20"/>
      <c r="AT1134" s="20"/>
    </row>
    <row r="1135" spans="1:46" s="8" customFormat="1" ht="13.8" thickBot="1" x14ac:dyDescent="0.3">
      <c r="A1135" s="122"/>
      <c r="B1135" s="122"/>
      <c r="C1135" s="307"/>
      <c r="D1135" s="91"/>
      <c r="E1135" s="91"/>
      <c r="F1135" s="91"/>
      <c r="G1135" s="91"/>
      <c r="H1135" s="91"/>
      <c r="I1135" s="91"/>
      <c r="J1135" s="52" t="s">
        <v>5</v>
      </c>
      <c r="K1135" s="53">
        <f>K1134+K1133</f>
        <v>974954.92</v>
      </c>
      <c r="L1135" s="46"/>
      <c r="M1135" s="46"/>
      <c r="N1135" s="46"/>
      <c r="O1135" s="46"/>
      <c r="P1135" s="46"/>
      <c r="Q1135" s="46"/>
      <c r="R1135" s="46">
        <f t="shared" ref="R1135:AF1135" si="894">R1134+R1133</f>
        <v>79467.42</v>
      </c>
      <c r="S1135" s="46">
        <f t="shared" si="894"/>
        <v>74062.5</v>
      </c>
      <c r="T1135" s="46">
        <f t="shared" si="894"/>
        <v>72962.5</v>
      </c>
      <c r="U1135" s="46">
        <f t="shared" si="894"/>
        <v>71862.5</v>
      </c>
      <c r="V1135" s="46">
        <f t="shared" si="894"/>
        <v>70625</v>
      </c>
      <c r="W1135" s="46">
        <f t="shared" si="894"/>
        <v>69387.5</v>
      </c>
      <c r="X1135" s="46">
        <f t="shared" si="894"/>
        <v>68150</v>
      </c>
      <c r="Y1135" s="46">
        <f t="shared" si="894"/>
        <v>66775</v>
      </c>
      <c r="Z1135" s="503">
        <f t="shared" si="894"/>
        <v>65400</v>
      </c>
      <c r="AA1135" s="542">
        <f t="shared" si="894"/>
        <v>63887.5</v>
      </c>
      <c r="AB1135" s="46">
        <f t="shared" si="894"/>
        <v>57375</v>
      </c>
      <c r="AC1135" s="46">
        <f t="shared" si="894"/>
        <v>56000</v>
      </c>
      <c r="AD1135" s="46">
        <f t="shared" si="894"/>
        <v>54500</v>
      </c>
      <c r="AE1135" s="46">
        <f t="shared" si="894"/>
        <v>53000</v>
      </c>
      <c r="AF1135" s="46">
        <f t="shared" si="894"/>
        <v>51500</v>
      </c>
      <c r="AG1135" s="47" t="s">
        <v>11</v>
      </c>
      <c r="AH1135" s="47"/>
      <c r="AI1135" s="47"/>
      <c r="AJ1135" s="47"/>
      <c r="AK1135" s="47"/>
      <c r="AL1135" s="47"/>
      <c r="AM1135" s="47"/>
      <c r="AN1135" s="47"/>
      <c r="AO1135" s="47"/>
      <c r="AP1135" s="47"/>
      <c r="AQ1135" s="47"/>
      <c r="AR1135" s="47"/>
      <c r="AS1135" s="47"/>
      <c r="AT1135" s="47"/>
    </row>
    <row r="1136" spans="1:46" s="3" customFormat="1" x14ac:dyDescent="0.25">
      <c r="A1136" s="121"/>
      <c r="B1136" s="121"/>
      <c r="C1136" s="306"/>
      <c r="D1136" s="102"/>
      <c r="E1136" s="285"/>
      <c r="F1136" s="102"/>
      <c r="G1136" s="103" t="s">
        <v>853</v>
      </c>
      <c r="H1136" s="103"/>
      <c r="I1136" s="103"/>
      <c r="J1136" s="104" t="s">
        <v>1</v>
      </c>
      <c r="K1136" s="105">
        <f>K1133+K1127</f>
        <v>3762000</v>
      </c>
      <c r="L1136" s="7"/>
      <c r="M1136" s="7"/>
      <c r="N1136" s="67"/>
      <c r="O1136" s="67"/>
      <c r="P1136" s="67"/>
      <c r="Q1136" s="67"/>
      <c r="R1136" s="67">
        <f t="shared" ref="R1136:AF1136" si="895">R1133+R1127</f>
        <v>387000</v>
      </c>
      <c r="S1136" s="67">
        <f t="shared" si="895"/>
        <v>370000</v>
      </c>
      <c r="T1136" s="67">
        <f t="shared" si="895"/>
        <v>365000</v>
      </c>
      <c r="U1136" s="67">
        <f t="shared" si="895"/>
        <v>360000</v>
      </c>
      <c r="V1136" s="67">
        <f t="shared" si="895"/>
        <v>355000</v>
      </c>
      <c r="W1136" s="67">
        <f t="shared" si="895"/>
        <v>240000</v>
      </c>
      <c r="X1136" s="67">
        <f t="shared" si="895"/>
        <v>240000</v>
      </c>
      <c r="Y1136" s="67">
        <f t="shared" si="895"/>
        <v>240000</v>
      </c>
      <c r="Z1136" s="507">
        <f t="shared" si="895"/>
        <v>240000</v>
      </c>
      <c r="AA1136" s="546">
        <f t="shared" si="895"/>
        <v>240000</v>
      </c>
      <c r="AB1136" s="67">
        <f t="shared" si="895"/>
        <v>145000</v>
      </c>
      <c r="AC1136" s="67">
        <f t="shared" si="895"/>
        <v>145000</v>
      </c>
      <c r="AD1136" s="67">
        <f t="shared" si="895"/>
        <v>145000</v>
      </c>
      <c r="AE1136" s="67">
        <f t="shared" si="895"/>
        <v>145000</v>
      </c>
      <c r="AF1136" s="67">
        <f t="shared" si="895"/>
        <v>145000</v>
      </c>
      <c r="AG1136" s="3" t="s">
        <v>11</v>
      </c>
    </row>
    <row r="1137" spans="1:46" s="3" customFormat="1" ht="13.8" thickBot="1" x14ac:dyDescent="0.3">
      <c r="A1137" s="121"/>
      <c r="B1137" s="121"/>
      <c r="C1137" s="306"/>
      <c r="D1137" s="104"/>
      <c r="E1137" s="285" t="s">
        <v>874</v>
      </c>
      <c r="F1137" s="104"/>
      <c r="G1137" s="103"/>
      <c r="H1137" s="103"/>
      <c r="I1137" s="103"/>
      <c r="J1137" s="106" t="s">
        <v>2</v>
      </c>
      <c r="K1137" s="107">
        <f>K1134+K1128</f>
        <v>644345.73</v>
      </c>
      <c r="L1137" s="22"/>
      <c r="M1137" s="22"/>
      <c r="N1137" s="22"/>
      <c r="O1137" s="22"/>
      <c r="P1137" s="22"/>
      <c r="Q1137" s="22"/>
      <c r="R1137" s="22">
        <f t="shared" ref="R1137:AF1137" si="896">R1134+R1128</f>
        <v>91520.73</v>
      </c>
      <c r="S1137" s="22">
        <f t="shared" si="896"/>
        <v>82775</v>
      </c>
      <c r="T1137" s="22">
        <f t="shared" si="896"/>
        <v>75375</v>
      </c>
      <c r="U1137" s="22">
        <f t="shared" si="896"/>
        <v>68075</v>
      </c>
      <c r="V1137" s="22">
        <f t="shared" si="896"/>
        <v>59975</v>
      </c>
      <c r="W1137" s="22">
        <f t="shared" si="896"/>
        <v>51987.5</v>
      </c>
      <c r="X1137" s="22">
        <f t="shared" si="896"/>
        <v>46587.5</v>
      </c>
      <c r="Y1137" s="22">
        <f t="shared" si="896"/>
        <v>40587.5</v>
      </c>
      <c r="Z1137" s="506">
        <f t="shared" si="896"/>
        <v>34587.5</v>
      </c>
      <c r="AA1137" s="545">
        <f t="shared" si="896"/>
        <v>27987.5</v>
      </c>
      <c r="AB1137" s="22">
        <f t="shared" si="896"/>
        <v>21387.5</v>
      </c>
      <c r="AC1137" s="22">
        <f t="shared" si="896"/>
        <v>17400</v>
      </c>
      <c r="AD1137" s="22">
        <f t="shared" si="896"/>
        <v>13050</v>
      </c>
      <c r="AE1137" s="22">
        <f t="shared" si="896"/>
        <v>8700</v>
      </c>
      <c r="AF1137" s="22">
        <f t="shared" si="896"/>
        <v>4350</v>
      </c>
      <c r="AG1137" s="23" t="s">
        <v>11</v>
      </c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</row>
    <row r="1138" spans="1:46" s="6" customFormat="1" x14ac:dyDescent="0.25">
      <c r="A1138" s="26"/>
      <c r="B1138" s="26"/>
      <c r="C1138" s="306"/>
      <c r="D1138" s="108"/>
      <c r="E1138" s="286" t="s">
        <v>875</v>
      </c>
      <c r="F1138" s="108"/>
      <c r="G1138" s="287" t="s">
        <v>876</v>
      </c>
      <c r="H1138" s="103"/>
      <c r="I1138" s="103"/>
      <c r="J1138" s="109" t="s">
        <v>5</v>
      </c>
      <c r="K1138" s="110">
        <f>K1137+K1136</f>
        <v>4406345.7300000004</v>
      </c>
      <c r="L1138" s="67"/>
      <c r="M1138" s="67"/>
      <c r="N1138" s="282"/>
      <c r="O1138" s="282"/>
      <c r="P1138" s="282"/>
      <c r="Q1138" s="282"/>
      <c r="R1138" s="282">
        <f t="shared" ref="R1138:AF1138" si="897">R1137+R1136</f>
        <v>478520.73</v>
      </c>
      <c r="S1138" s="282">
        <f t="shared" si="897"/>
        <v>452775</v>
      </c>
      <c r="T1138" s="282">
        <f t="shared" si="897"/>
        <v>440375</v>
      </c>
      <c r="U1138" s="282">
        <f t="shared" si="897"/>
        <v>428075</v>
      </c>
      <c r="V1138" s="282">
        <f t="shared" si="897"/>
        <v>414975</v>
      </c>
      <c r="W1138" s="282">
        <f t="shared" si="897"/>
        <v>291987.5</v>
      </c>
      <c r="X1138" s="282">
        <f t="shared" si="897"/>
        <v>286587.5</v>
      </c>
      <c r="Y1138" s="282">
        <f t="shared" si="897"/>
        <v>280587.5</v>
      </c>
      <c r="Z1138" s="508">
        <f t="shared" si="897"/>
        <v>274587.5</v>
      </c>
      <c r="AA1138" s="551">
        <f t="shared" si="897"/>
        <v>267987.5</v>
      </c>
      <c r="AB1138" s="282">
        <f t="shared" si="897"/>
        <v>166387.5</v>
      </c>
      <c r="AC1138" s="282">
        <f t="shared" si="897"/>
        <v>162400</v>
      </c>
      <c r="AD1138" s="282">
        <f t="shared" si="897"/>
        <v>158050</v>
      </c>
      <c r="AE1138" s="282">
        <f t="shared" si="897"/>
        <v>153700</v>
      </c>
      <c r="AF1138" s="282">
        <f t="shared" si="897"/>
        <v>149350</v>
      </c>
      <c r="AG1138" s="134" t="s">
        <v>11</v>
      </c>
      <c r="AH1138" s="69"/>
      <c r="AI1138" s="69"/>
      <c r="AJ1138" s="69"/>
      <c r="AK1138" s="69"/>
      <c r="AL1138" s="69"/>
      <c r="AM1138" s="69"/>
      <c r="AN1138" s="69"/>
      <c r="AO1138" s="69"/>
      <c r="AP1138" s="69"/>
      <c r="AQ1138" s="69"/>
      <c r="AR1138" s="69"/>
      <c r="AS1138" s="69"/>
      <c r="AT1138" s="69"/>
    </row>
    <row r="1139" spans="1:46" s="2" customFormat="1" ht="13.8" thickBot="1" x14ac:dyDescent="0.3">
      <c r="A1139" s="119"/>
      <c r="B1139" s="119"/>
      <c r="C1139" s="308"/>
      <c r="D1139" s="49"/>
      <c r="E1139" s="49"/>
      <c r="F1139" s="49"/>
      <c r="G1139" s="128" t="s">
        <v>1351</v>
      </c>
      <c r="H1139" s="128"/>
      <c r="I1139" s="128"/>
      <c r="J1139" s="48"/>
      <c r="K1139" s="96"/>
      <c r="L1139" s="97"/>
      <c r="M1139" s="97"/>
      <c r="N1139" s="97"/>
      <c r="O1139" s="97"/>
      <c r="P1139" s="98"/>
      <c r="Q1139" s="98"/>
      <c r="R1139" s="98"/>
      <c r="S1139" s="383"/>
      <c r="T1139" s="98"/>
      <c r="U1139" s="48"/>
      <c r="V1139" s="48"/>
      <c r="W1139" s="48"/>
      <c r="X1139" s="48"/>
      <c r="Y1139" s="48"/>
      <c r="Z1139" s="48"/>
      <c r="AA1139" s="48"/>
      <c r="AB1139" s="48"/>
      <c r="AC1139" s="48"/>
      <c r="AD1139" s="48"/>
      <c r="AE1139" s="48"/>
      <c r="AF1139" s="48"/>
      <c r="AG1139" s="48"/>
      <c r="AH1139" s="48"/>
      <c r="AI1139" s="48"/>
      <c r="AJ1139" s="48"/>
      <c r="AK1139" s="48"/>
      <c r="AL1139" s="48"/>
      <c r="AM1139" s="48"/>
      <c r="AN1139" s="48"/>
      <c r="AO1139" s="48"/>
      <c r="AP1139" s="48"/>
      <c r="AQ1139" s="48"/>
      <c r="AR1139" s="48"/>
      <c r="AS1139" s="48"/>
      <c r="AT1139" s="48"/>
    </row>
    <row r="1140" spans="1:46" s="2" customFormat="1" x14ac:dyDescent="0.25">
      <c r="A1140" s="380" t="s">
        <v>95</v>
      </c>
      <c r="B1140" s="380" t="s">
        <v>96</v>
      </c>
      <c r="C1140" s="306"/>
      <c r="D1140" s="381" t="s">
        <v>3</v>
      </c>
      <c r="E1140" s="382">
        <v>43193</v>
      </c>
      <c r="F1140" s="384" t="s">
        <v>266</v>
      </c>
      <c r="G1140" s="469" t="s">
        <v>880</v>
      </c>
      <c r="H1140" s="469">
        <v>31300280</v>
      </c>
      <c r="I1140" s="469">
        <v>582001</v>
      </c>
      <c r="J1140" s="69" t="s">
        <v>1</v>
      </c>
      <c r="K1140" s="138">
        <v>170000</v>
      </c>
      <c r="L1140" s="4"/>
      <c r="M1140" s="4"/>
      <c r="N1140" s="4"/>
      <c r="O1140" s="4"/>
      <c r="P1140" s="283"/>
      <c r="Q1140" s="283"/>
      <c r="R1140" s="283"/>
      <c r="S1140" s="283">
        <v>35000</v>
      </c>
      <c r="T1140" s="283">
        <v>35000</v>
      </c>
      <c r="U1140" s="283">
        <v>35000</v>
      </c>
      <c r="V1140" s="283">
        <v>35000</v>
      </c>
      <c r="W1140" s="283">
        <v>30000</v>
      </c>
      <c r="X1140" s="2" t="s">
        <v>11</v>
      </c>
      <c r="Y1140" s="283"/>
      <c r="Z1140" s="497"/>
      <c r="AA1140" s="536"/>
      <c r="AB1140" s="5"/>
    </row>
    <row r="1141" spans="1:46" s="2" customFormat="1" x14ac:dyDescent="0.25">
      <c r="A1141" s="400" t="s">
        <v>1049</v>
      </c>
      <c r="B1141" s="26"/>
      <c r="C1141" s="306"/>
      <c r="D1141" s="54"/>
      <c r="E1141" s="34" t="s">
        <v>12</v>
      </c>
      <c r="F1141" s="35"/>
      <c r="G1141" s="35" t="s">
        <v>877</v>
      </c>
      <c r="H1141" s="35" t="s">
        <v>1106</v>
      </c>
      <c r="I1141" s="35"/>
      <c r="J1141" s="17" t="s">
        <v>2</v>
      </c>
      <c r="K1141" s="379">
        <v>24952.78</v>
      </c>
      <c r="L1141" s="11"/>
      <c r="M1141" s="11"/>
      <c r="N1141" s="11"/>
      <c r="O1141" s="11"/>
      <c r="P1141" s="142"/>
      <c r="Q1141" s="142"/>
      <c r="R1141" s="142"/>
      <c r="S1141" s="142">
        <f>4202.78+4250</f>
        <v>8452.7799999999988</v>
      </c>
      <c r="T1141" s="142">
        <f>3375+3375</f>
        <v>6750</v>
      </c>
      <c r="U1141" s="142">
        <f>2500+2500</f>
        <v>5000</v>
      </c>
      <c r="V1141" s="142">
        <f>1625+1625</f>
        <v>3250</v>
      </c>
      <c r="W1141" s="142">
        <f>750+750</f>
        <v>1500</v>
      </c>
      <c r="X1141" s="17" t="s">
        <v>11</v>
      </c>
      <c r="Y1141" s="142"/>
      <c r="Z1141" s="500"/>
      <c r="AA1141" s="539"/>
      <c r="AB1141" s="21"/>
      <c r="AC1141" s="17"/>
      <c r="AD1141" s="17"/>
      <c r="AE1141" s="17"/>
      <c r="AF1141" s="17"/>
      <c r="AG1141" s="17"/>
      <c r="AH1141" s="17"/>
      <c r="AI1141" s="17"/>
      <c r="AJ1141" s="17"/>
      <c r="AK1141" s="17"/>
      <c r="AL1141" s="17"/>
      <c r="AM1141" s="17"/>
      <c r="AN1141" s="17"/>
      <c r="AO1141" s="17"/>
      <c r="AP1141" s="17"/>
      <c r="AQ1141" s="17"/>
      <c r="AR1141" s="17"/>
      <c r="AS1141" s="17"/>
      <c r="AT1141" s="17"/>
    </row>
    <row r="1142" spans="1:46" s="6" customFormat="1" ht="13.8" thickBot="1" x14ac:dyDescent="0.3">
      <c r="A1142" s="409" t="s">
        <v>1115</v>
      </c>
      <c r="B1142" s="120"/>
      <c r="C1142" s="307"/>
      <c r="D1142" s="85"/>
      <c r="E1142" s="86" t="s">
        <v>161</v>
      </c>
      <c r="F1142" s="86" t="s">
        <v>410</v>
      </c>
      <c r="G1142" s="125"/>
      <c r="H1142" s="125"/>
      <c r="I1142" s="125"/>
      <c r="J1142" s="365" t="s">
        <v>6</v>
      </c>
      <c r="K1142" s="350">
        <f>K1141+K1140</f>
        <v>194952.78</v>
      </c>
      <c r="L1142" s="43"/>
      <c r="M1142" s="43"/>
      <c r="N1142" s="43"/>
      <c r="O1142" s="43"/>
      <c r="P1142" s="43"/>
      <c r="Q1142" s="43"/>
      <c r="R1142" s="43"/>
      <c r="S1142" s="43">
        <f t="shared" ref="S1142:W1142" si="898">S1141+S1140</f>
        <v>43452.78</v>
      </c>
      <c r="T1142" s="43">
        <f t="shared" si="898"/>
        <v>41750</v>
      </c>
      <c r="U1142" s="43">
        <f t="shared" si="898"/>
        <v>40000</v>
      </c>
      <c r="V1142" s="43">
        <f t="shared" si="898"/>
        <v>38250</v>
      </c>
      <c r="W1142" s="43">
        <f t="shared" si="898"/>
        <v>31500</v>
      </c>
      <c r="X1142" s="41" t="s">
        <v>11</v>
      </c>
      <c r="Y1142" s="43"/>
      <c r="Z1142" s="499"/>
      <c r="AA1142" s="538"/>
      <c r="AB1142" s="43"/>
      <c r="AC1142" s="41"/>
      <c r="AD1142" s="41"/>
      <c r="AE1142" s="41"/>
      <c r="AF1142" s="41"/>
      <c r="AG1142" s="41"/>
      <c r="AH1142" s="41"/>
      <c r="AI1142" s="41"/>
      <c r="AJ1142" s="41"/>
      <c r="AK1142" s="41"/>
      <c r="AL1142" s="41"/>
      <c r="AM1142" s="41"/>
      <c r="AN1142" s="41"/>
      <c r="AO1142" s="41"/>
      <c r="AP1142" s="41"/>
      <c r="AQ1142" s="41"/>
      <c r="AR1142" s="41"/>
      <c r="AS1142" s="41"/>
      <c r="AT1142" s="41"/>
    </row>
    <row r="1143" spans="1:46" s="2" customFormat="1" x14ac:dyDescent="0.25">
      <c r="A1143" s="26" t="s">
        <v>99</v>
      </c>
      <c r="B1143" s="26" t="s">
        <v>96</v>
      </c>
      <c r="C1143" s="306"/>
      <c r="D1143" s="54" t="s">
        <v>3</v>
      </c>
      <c r="E1143" s="284">
        <v>43193</v>
      </c>
      <c r="F1143" s="385" t="s">
        <v>266</v>
      </c>
      <c r="G1143" s="313" t="s">
        <v>881</v>
      </c>
      <c r="H1143" s="313">
        <v>31171278</v>
      </c>
      <c r="I1143" s="313">
        <v>584003</v>
      </c>
      <c r="J1143" s="2" t="s">
        <v>1</v>
      </c>
      <c r="K1143" s="27">
        <v>140000</v>
      </c>
      <c r="L1143" s="5"/>
      <c r="M1143" s="4"/>
      <c r="N1143" s="4"/>
      <c r="O1143" s="4"/>
      <c r="P1143" s="283"/>
      <c r="Q1143" s="283"/>
      <c r="R1143" s="283"/>
      <c r="S1143" s="283">
        <v>10000</v>
      </c>
      <c r="T1143" s="283">
        <v>10000</v>
      </c>
      <c r="U1143" s="283">
        <v>10000</v>
      </c>
      <c r="V1143" s="283">
        <v>10000</v>
      </c>
      <c r="W1143" s="283">
        <v>10000</v>
      </c>
      <c r="X1143" s="283">
        <v>10000</v>
      </c>
      <c r="Y1143" s="283">
        <v>10000</v>
      </c>
      <c r="Z1143" s="497">
        <v>10000</v>
      </c>
      <c r="AA1143" s="536">
        <v>10000</v>
      </c>
      <c r="AB1143" s="5">
        <v>10000</v>
      </c>
      <c r="AC1143" s="5">
        <v>10000</v>
      </c>
      <c r="AD1143" s="5">
        <v>10000</v>
      </c>
      <c r="AE1143" s="5">
        <v>10000</v>
      </c>
      <c r="AF1143" s="5">
        <v>10000</v>
      </c>
      <c r="AG1143" s="2" t="s">
        <v>11</v>
      </c>
    </row>
    <row r="1144" spans="1:46" s="2" customFormat="1" x14ac:dyDescent="0.25">
      <c r="A1144" s="400" t="s">
        <v>1050</v>
      </c>
      <c r="B1144" s="26"/>
      <c r="C1144" s="306"/>
      <c r="D1144" s="54"/>
      <c r="E1144" s="34" t="s">
        <v>12</v>
      </c>
      <c r="F1144" s="35"/>
      <c r="G1144" s="35" t="s">
        <v>882</v>
      </c>
      <c r="H1144" s="146" t="s">
        <v>1109</v>
      </c>
      <c r="I1144" s="35"/>
      <c r="J1144" s="17" t="s">
        <v>2</v>
      </c>
      <c r="K1144" s="379">
        <v>39642.36</v>
      </c>
      <c r="L1144" s="21"/>
      <c r="M1144" s="11"/>
      <c r="N1144" s="11"/>
      <c r="O1144" s="11"/>
      <c r="P1144" s="142"/>
      <c r="Q1144" s="142"/>
      <c r="R1144" s="142"/>
      <c r="S1144" s="142">
        <f>2904.86+2937.5</f>
        <v>5842.3600000000006</v>
      </c>
      <c r="T1144" s="142">
        <f>2687.5+2687.5</f>
        <v>5375</v>
      </c>
      <c r="U1144" s="142">
        <f>2437.5+2437.5</f>
        <v>4875</v>
      </c>
      <c r="V1144" s="142">
        <f>2187.5+2187.5</f>
        <v>4375</v>
      </c>
      <c r="W1144" s="142">
        <f>1937.5+1937.5</f>
        <v>3875</v>
      </c>
      <c r="X1144" s="142">
        <f>1687.5+1687.5</f>
        <v>3375</v>
      </c>
      <c r="Y1144" s="142">
        <f>1437.5+1437.5</f>
        <v>2875</v>
      </c>
      <c r="Z1144" s="500">
        <f>1187.5+1187.5</f>
        <v>2375</v>
      </c>
      <c r="AA1144" s="539">
        <f>937.5+937.5</f>
        <v>1875</v>
      </c>
      <c r="AB1144" s="21">
        <f>787.5+787.5</f>
        <v>1575</v>
      </c>
      <c r="AC1144" s="21">
        <f>637.5+637.5</f>
        <v>1275</v>
      </c>
      <c r="AD1144" s="21">
        <f>487.5+487.5</f>
        <v>975</v>
      </c>
      <c r="AE1144" s="21">
        <f>325+325</f>
        <v>650</v>
      </c>
      <c r="AF1144" s="21">
        <f>162.5+162.5</f>
        <v>325</v>
      </c>
      <c r="AG1144" s="17" t="s">
        <v>11</v>
      </c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17"/>
      <c r="AS1144" s="17"/>
      <c r="AT1144" s="17"/>
    </row>
    <row r="1145" spans="1:46" s="6" customFormat="1" ht="13.8" thickBot="1" x14ac:dyDescent="0.3">
      <c r="A1145" s="409" t="s">
        <v>1115</v>
      </c>
      <c r="B1145" s="120"/>
      <c r="C1145" s="307"/>
      <c r="D1145" s="85"/>
      <c r="E1145" s="86" t="s">
        <v>15</v>
      </c>
      <c r="F1145" s="86" t="s">
        <v>412</v>
      </c>
      <c r="G1145" s="125"/>
      <c r="H1145" s="125"/>
      <c r="I1145" s="125"/>
      <c r="J1145" s="365" t="s">
        <v>6</v>
      </c>
      <c r="K1145" s="350">
        <f>K1144+K1143</f>
        <v>179642.36</v>
      </c>
      <c r="L1145" s="43"/>
      <c r="M1145" s="43"/>
      <c r="N1145" s="43"/>
      <c r="O1145" s="43"/>
      <c r="P1145" s="43"/>
      <c r="Q1145" s="43"/>
      <c r="R1145" s="43"/>
      <c r="S1145" s="43">
        <f t="shared" ref="S1145:AA1145" si="899">S1144+S1143</f>
        <v>15842.36</v>
      </c>
      <c r="T1145" s="43">
        <f t="shared" si="899"/>
        <v>15375</v>
      </c>
      <c r="U1145" s="43">
        <f t="shared" si="899"/>
        <v>14875</v>
      </c>
      <c r="V1145" s="43">
        <f t="shared" si="899"/>
        <v>14375</v>
      </c>
      <c r="W1145" s="43">
        <f t="shared" si="899"/>
        <v>13875</v>
      </c>
      <c r="X1145" s="43">
        <f t="shared" si="899"/>
        <v>13375</v>
      </c>
      <c r="Y1145" s="43">
        <f t="shared" si="899"/>
        <v>12875</v>
      </c>
      <c r="Z1145" s="499">
        <f t="shared" si="899"/>
        <v>12375</v>
      </c>
      <c r="AA1145" s="538">
        <f t="shared" si="899"/>
        <v>11875</v>
      </c>
      <c r="AB1145" s="43">
        <f t="shared" ref="AB1145:AE1145" si="900">AB1144+AB1143</f>
        <v>11575</v>
      </c>
      <c r="AC1145" s="43">
        <f t="shared" si="900"/>
        <v>11275</v>
      </c>
      <c r="AD1145" s="43">
        <f t="shared" si="900"/>
        <v>10975</v>
      </c>
      <c r="AE1145" s="43">
        <f t="shared" si="900"/>
        <v>10650</v>
      </c>
      <c r="AF1145" s="43">
        <f t="shared" ref="AF1145" si="901">AF1144+AF1143</f>
        <v>10325</v>
      </c>
      <c r="AG1145" s="41" t="s">
        <v>11</v>
      </c>
      <c r="AH1145" s="41"/>
      <c r="AI1145" s="41"/>
      <c r="AJ1145" s="41"/>
      <c r="AK1145" s="41"/>
      <c r="AL1145" s="41"/>
      <c r="AM1145" s="41"/>
      <c r="AN1145" s="41"/>
      <c r="AO1145" s="41"/>
      <c r="AP1145" s="41"/>
      <c r="AQ1145" s="41"/>
      <c r="AR1145" s="41"/>
      <c r="AS1145" s="41"/>
      <c r="AT1145" s="41"/>
    </row>
    <row r="1146" spans="1:46" s="2" customFormat="1" x14ac:dyDescent="0.25">
      <c r="A1146" s="26" t="s">
        <v>102</v>
      </c>
      <c r="B1146" s="26" t="s">
        <v>96</v>
      </c>
      <c r="C1146" s="306"/>
      <c r="D1146" s="54" t="s">
        <v>3</v>
      </c>
      <c r="E1146" s="284">
        <v>43193</v>
      </c>
      <c r="F1146" s="385" t="s">
        <v>266</v>
      </c>
      <c r="G1146" s="35" t="s">
        <v>681</v>
      </c>
      <c r="H1146" s="35">
        <v>31210278</v>
      </c>
      <c r="I1146" s="35">
        <v>585100</v>
      </c>
      <c r="J1146" s="2" t="s">
        <v>1</v>
      </c>
      <c r="K1146" s="27">
        <v>171000</v>
      </c>
      <c r="L1146" s="4"/>
      <c r="M1146" s="4"/>
      <c r="N1146" s="4"/>
      <c r="O1146" s="4"/>
      <c r="P1146" s="283"/>
      <c r="Q1146" s="283"/>
      <c r="R1146" s="283"/>
      <c r="S1146" s="283">
        <v>36000</v>
      </c>
      <c r="T1146" s="283">
        <v>35000</v>
      </c>
      <c r="U1146" s="283">
        <v>35000</v>
      </c>
      <c r="V1146" s="283">
        <v>35000</v>
      </c>
      <c r="W1146" s="283">
        <v>30000</v>
      </c>
      <c r="X1146" s="2" t="s">
        <v>11</v>
      </c>
      <c r="Z1146" s="490"/>
      <c r="AA1146" s="60"/>
    </row>
    <row r="1147" spans="1:46" s="2" customFormat="1" x14ac:dyDescent="0.25">
      <c r="A1147" s="400" t="s">
        <v>1051</v>
      </c>
      <c r="B1147" s="26"/>
      <c r="C1147" s="306"/>
      <c r="D1147" s="54"/>
      <c r="E1147" s="284" t="s">
        <v>12</v>
      </c>
      <c r="F1147" s="35"/>
      <c r="G1147" s="35" t="s">
        <v>883</v>
      </c>
      <c r="H1147" s="35" t="s">
        <v>1106</v>
      </c>
      <c r="I1147" s="35"/>
      <c r="J1147" s="17" t="s">
        <v>2</v>
      </c>
      <c r="K1147" s="347">
        <v>25002.5</v>
      </c>
      <c r="L1147" s="11"/>
      <c r="M1147" s="11"/>
      <c r="N1147" s="11"/>
      <c r="O1147" s="11"/>
      <c r="P1147" s="142"/>
      <c r="Q1147" s="142"/>
      <c r="R1147" s="142"/>
      <c r="S1147" s="142">
        <f>4227.5+4275</f>
        <v>8502.5</v>
      </c>
      <c r="T1147" s="142">
        <f>3375+3375</f>
        <v>6750</v>
      </c>
      <c r="U1147" s="142">
        <f>2500+2500</f>
        <v>5000</v>
      </c>
      <c r="V1147" s="142">
        <f>1625+1625</f>
        <v>3250</v>
      </c>
      <c r="W1147" s="142">
        <f>750+750</f>
        <v>1500</v>
      </c>
      <c r="X1147" s="17" t="s">
        <v>11</v>
      </c>
      <c r="Y1147" s="17"/>
      <c r="Z1147" s="491"/>
      <c r="AA1147" s="532"/>
      <c r="AB1147" s="17"/>
      <c r="AC1147" s="17"/>
      <c r="AD1147" s="17"/>
      <c r="AE1147" s="17"/>
      <c r="AF1147" s="17"/>
      <c r="AG1147" s="17"/>
      <c r="AH1147" s="17"/>
      <c r="AI1147" s="17"/>
      <c r="AJ1147" s="17"/>
      <c r="AK1147" s="17"/>
      <c r="AL1147" s="17"/>
      <c r="AM1147" s="17"/>
      <c r="AN1147" s="17"/>
      <c r="AO1147" s="17"/>
      <c r="AP1147" s="17"/>
      <c r="AQ1147" s="17"/>
      <c r="AR1147" s="17"/>
      <c r="AS1147" s="17"/>
      <c r="AT1147" s="17"/>
    </row>
    <row r="1148" spans="1:46" s="6" customFormat="1" ht="13.8" thickBot="1" x14ac:dyDescent="0.3">
      <c r="A1148" s="409" t="s">
        <v>1115</v>
      </c>
      <c r="B1148" s="120"/>
      <c r="C1148" s="307"/>
      <c r="D1148" s="85"/>
      <c r="E1148" s="145" t="s">
        <v>160</v>
      </c>
      <c r="F1148" s="470" t="s">
        <v>410</v>
      </c>
      <c r="G1148" s="125" t="s">
        <v>900</v>
      </c>
      <c r="H1148" s="125"/>
      <c r="I1148" s="125"/>
      <c r="J1148" s="365" t="s">
        <v>6</v>
      </c>
      <c r="K1148" s="350">
        <f>K1147+K1146</f>
        <v>196002.5</v>
      </c>
      <c r="L1148" s="43"/>
      <c r="M1148" s="43"/>
      <c r="N1148" s="43"/>
      <c r="O1148" s="43"/>
      <c r="P1148" s="43"/>
      <c r="Q1148" s="43"/>
      <c r="R1148" s="43"/>
      <c r="S1148" s="43">
        <f t="shared" ref="S1148:W1148" si="902">S1147+S1146</f>
        <v>44502.5</v>
      </c>
      <c r="T1148" s="43">
        <f t="shared" si="902"/>
        <v>41750</v>
      </c>
      <c r="U1148" s="43">
        <f t="shared" si="902"/>
        <v>40000</v>
      </c>
      <c r="V1148" s="43">
        <f t="shared" si="902"/>
        <v>38250</v>
      </c>
      <c r="W1148" s="43">
        <f t="shared" si="902"/>
        <v>31500</v>
      </c>
      <c r="X1148" s="41" t="s">
        <v>11</v>
      </c>
      <c r="Y1148" s="41"/>
      <c r="Z1148" s="492"/>
      <c r="AA1148" s="533"/>
      <c r="AB1148" s="41"/>
      <c r="AC1148" s="41"/>
      <c r="AD1148" s="41"/>
      <c r="AE1148" s="41"/>
      <c r="AF1148" s="41"/>
      <c r="AG1148" s="41"/>
      <c r="AH1148" s="41"/>
      <c r="AI1148" s="41"/>
      <c r="AJ1148" s="41"/>
      <c r="AK1148" s="41"/>
      <c r="AL1148" s="41"/>
      <c r="AM1148" s="41"/>
      <c r="AN1148" s="41"/>
      <c r="AO1148" s="41"/>
      <c r="AP1148" s="41"/>
      <c r="AQ1148" s="41"/>
      <c r="AR1148" s="41"/>
      <c r="AS1148" s="41"/>
      <c r="AT1148" s="41"/>
    </row>
    <row r="1149" spans="1:46" s="2" customFormat="1" x14ac:dyDescent="0.25">
      <c r="A1149" s="26" t="s">
        <v>102</v>
      </c>
      <c r="B1149" s="26" t="s">
        <v>96</v>
      </c>
      <c r="C1149" s="306"/>
      <c r="D1149" s="54" t="s">
        <v>3</v>
      </c>
      <c r="E1149" s="284">
        <v>43193</v>
      </c>
      <c r="F1149" s="385" t="s">
        <v>266</v>
      </c>
      <c r="G1149" s="35" t="s">
        <v>884</v>
      </c>
      <c r="H1149" s="35">
        <v>31220278</v>
      </c>
      <c r="I1149" s="35">
        <v>585114</v>
      </c>
      <c r="J1149" s="2" t="s">
        <v>1</v>
      </c>
      <c r="K1149" s="27">
        <v>232000</v>
      </c>
      <c r="L1149" s="4"/>
      <c r="M1149" s="4"/>
      <c r="N1149" s="4"/>
      <c r="O1149" s="4"/>
      <c r="P1149" s="283"/>
      <c r="Q1149" s="283"/>
      <c r="R1149" s="283"/>
      <c r="S1149" s="283">
        <v>52000</v>
      </c>
      <c r="T1149" s="283">
        <v>45000</v>
      </c>
      <c r="U1149" s="283">
        <v>45000</v>
      </c>
      <c r="V1149" s="283">
        <v>45000</v>
      </c>
      <c r="W1149" s="283">
        <v>45000</v>
      </c>
      <c r="X1149" s="2" t="s">
        <v>11</v>
      </c>
      <c r="Z1149" s="490"/>
      <c r="AA1149" s="60"/>
    </row>
    <row r="1150" spans="1:46" s="2" customFormat="1" x14ac:dyDescent="0.25">
      <c r="A1150" s="400" t="s">
        <v>1052</v>
      </c>
      <c r="B1150" s="26"/>
      <c r="C1150" s="306"/>
      <c r="D1150" s="54"/>
      <c r="E1150" s="284" t="s">
        <v>12</v>
      </c>
      <c r="F1150" s="35"/>
      <c r="G1150" s="35" t="s">
        <v>885</v>
      </c>
      <c r="H1150" s="35" t="s">
        <v>1106</v>
      </c>
      <c r="I1150" s="35"/>
      <c r="J1150" s="17" t="s">
        <v>2</v>
      </c>
      <c r="K1150" s="347">
        <v>34035.56</v>
      </c>
      <c r="L1150" s="11"/>
      <c r="M1150" s="11"/>
      <c r="N1150" s="11"/>
      <c r="O1150" s="11"/>
      <c r="P1150" s="142"/>
      <c r="Q1150" s="142"/>
      <c r="R1150" s="142"/>
      <c r="S1150" s="142">
        <f>5735.56+5800</f>
        <v>11535.560000000001</v>
      </c>
      <c r="T1150" s="142">
        <f>4500+4500</f>
        <v>9000</v>
      </c>
      <c r="U1150" s="142">
        <f>3375+3375</f>
        <v>6750</v>
      </c>
      <c r="V1150" s="142">
        <f>2250+2250</f>
        <v>4500</v>
      </c>
      <c r="W1150" s="142">
        <f>1125+1125</f>
        <v>2250</v>
      </c>
      <c r="X1150" s="17" t="s">
        <v>11</v>
      </c>
      <c r="Y1150" s="17"/>
      <c r="Z1150" s="491"/>
      <c r="AA1150" s="532"/>
      <c r="AB1150" s="17"/>
      <c r="AC1150" s="17"/>
      <c r="AD1150" s="17"/>
      <c r="AE1150" s="17"/>
      <c r="AF1150" s="17"/>
      <c r="AG1150" s="17"/>
      <c r="AH1150" s="17"/>
      <c r="AI1150" s="17"/>
      <c r="AJ1150" s="17"/>
      <c r="AK1150" s="17"/>
      <c r="AL1150" s="17"/>
      <c r="AM1150" s="17"/>
      <c r="AN1150" s="17"/>
      <c r="AO1150" s="17"/>
      <c r="AP1150" s="17"/>
      <c r="AQ1150" s="17"/>
      <c r="AR1150" s="17"/>
      <c r="AS1150" s="17"/>
      <c r="AT1150" s="17"/>
    </row>
    <row r="1151" spans="1:46" s="6" customFormat="1" ht="13.8" thickBot="1" x14ac:dyDescent="0.3">
      <c r="A1151" s="409" t="s">
        <v>1115</v>
      </c>
      <c r="B1151" s="120"/>
      <c r="C1151" s="307"/>
      <c r="D1151" s="85"/>
      <c r="E1151" s="145" t="s">
        <v>160</v>
      </c>
      <c r="F1151" s="470" t="s">
        <v>410</v>
      </c>
      <c r="G1151" s="141"/>
      <c r="H1151" s="125"/>
      <c r="I1151" s="125"/>
      <c r="J1151" s="365" t="s">
        <v>6</v>
      </c>
      <c r="K1151" s="350">
        <f>K1150+K1149</f>
        <v>266035.56</v>
      </c>
      <c r="L1151" s="43"/>
      <c r="M1151" s="43"/>
      <c r="N1151" s="43"/>
      <c r="O1151" s="43"/>
      <c r="P1151" s="43"/>
      <c r="Q1151" s="43"/>
      <c r="R1151" s="43"/>
      <c r="S1151" s="43">
        <f t="shared" ref="S1151:V1151" si="903">S1150+S1149</f>
        <v>63535.56</v>
      </c>
      <c r="T1151" s="43">
        <f t="shared" si="903"/>
        <v>54000</v>
      </c>
      <c r="U1151" s="43">
        <f t="shared" si="903"/>
        <v>51750</v>
      </c>
      <c r="V1151" s="43">
        <f t="shared" si="903"/>
        <v>49500</v>
      </c>
      <c r="W1151" s="43">
        <f t="shared" ref="W1151" si="904">W1150+W1149</f>
        <v>47250</v>
      </c>
      <c r="X1151" s="41" t="s">
        <v>11</v>
      </c>
      <c r="Y1151" s="41"/>
      <c r="Z1151" s="492"/>
      <c r="AA1151" s="533"/>
      <c r="AB1151" s="41"/>
      <c r="AC1151" s="41"/>
      <c r="AD1151" s="41"/>
      <c r="AE1151" s="41"/>
      <c r="AF1151" s="41"/>
      <c r="AG1151" s="41"/>
      <c r="AH1151" s="41"/>
      <c r="AI1151" s="41"/>
      <c r="AJ1151" s="41"/>
      <c r="AK1151" s="41"/>
      <c r="AL1151" s="41"/>
      <c r="AM1151" s="41"/>
      <c r="AN1151" s="41"/>
      <c r="AO1151" s="41"/>
      <c r="AP1151" s="41"/>
      <c r="AQ1151" s="41"/>
      <c r="AR1151" s="41"/>
      <c r="AS1151" s="41"/>
      <c r="AT1151" s="41"/>
    </row>
    <row r="1152" spans="1:46" s="2" customFormat="1" x14ac:dyDescent="0.25">
      <c r="A1152" s="26" t="s">
        <v>98</v>
      </c>
      <c r="B1152" s="26" t="s">
        <v>96</v>
      </c>
      <c r="C1152" s="306"/>
      <c r="D1152" s="54" t="s">
        <v>3</v>
      </c>
      <c r="E1152" s="284">
        <v>43193</v>
      </c>
      <c r="F1152" s="385" t="s">
        <v>266</v>
      </c>
      <c r="G1152" s="323" t="s">
        <v>886</v>
      </c>
      <c r="H1152" s="323">
        <v>31300278</v>
      </c>
      <c r="I1152" s="323">
        <v>581500</v>
      </c>
      <c r="J1152" s="2" t="s">
        <v>1</v>
      </c>
      <c r="K1152" s="27">
        <v>500000</v>
      </c>
      <c r="L1152" s="5"/>
      <c r="M1152" s="4"/>
      <c r="N1152" s="4"/>
      <c r="O1152" s="4"/>
      <c r="P1152" s="283"/>
      <c r="Q1152" s="283"/>
      <c r="R1152" s="283"/>
      <c r="S1152" s="283">
        <v>35000</v>
      </c>
      <c r="T1152" s="283">
        <v>35000</v>
      </c>
      <c r="U1152" s="283">
        <v>35000</v>
      </c>
      <c r="V1152" s="283">
        <v>35000</v>
      </c>
      <c r="W1152" s="283">
        <v>35000</v>
      </c>
      <c r="X1152" s="283">
        <v>35000</v>
      </c>
      <c r="Y1152" s="283">
        <v>35000</v>
      </c>
      <c r="Z1152" s="497">
        <v>35000</v>
      </c>
      <c r="AA1152" s="536">
        <v>35000</v>
      </c>
      <c r="AB1152" s="5">
        <v>35000</v>
      </c>
      <c r="AC1152" s="5">
        <v>30000</v>
      </c>
      <c r="AD1152" s="5">
        <v>30000</v>
      </c>
      <c r="AE1152" s="5">
        <v>30000</v>
      </c>
      <c r="AF1152" s="5">
        <v>30000</v>
      </c>
      <c r="AG1152" s="5">
        <v>30000</v>
      </c>
      <c r="AH1152" s="2" t="s">
        <v>11</v>
      </c>
    </row>
    <row r="1153" spans="1:46" s="2" customFormat="1" x14ac:dyDescent="0.25">
      <c r="A1153" s="400" t="s">
        <v>1053</v>
      </c>
      <c r="B1153" s="26"/>
      <c r="C1153" s="306"/>
      <c r="D1153" s="54"/>
      <c r="E1153" s="34" t="s">
        <v>12</v>
      </c>
      <c r="F1153" s="35"/>
      <c r="G1153" s="35" t="s">
        <v>887</v>
      </c>
      <c r="H1153" s="146" t="s">
        <v>1107</v>
      </c>
      <c r="I1153" s="35"/>
      <c r="J1153" s="17" t="s">
        <v>2</v>
      </c>
      <c r="K1153" s="347">
        <v>145383.89000000001</v>
      </c>
      <c r="L1153" s="21"/>
      <c r="M1153" s="11"/>
      <c r="N1153" s="11"/>
      <c r="O1153" s="11"/>
      <c r="P1153" s="142"/>
      <c r="Q1153" s="142"/>
      <c r="R1153" s="142"/>
      <c r="S1153" s="142">
        <f>10333.89+10450</f>
        <v>20783.89</v>
      </c>
      <c r="T1153" s="142">
        <f>9575+9575</f>
        <v>19150</v>
      </c>
      <c r="U1153" s="142">
        <f>8700+8700</f>
        <v>17400</v>
      </c>
      <c r="V1153" s="142">
        <f>7825+7825</f>
        <v>15650</v>
      </c>
      <c r="W1153" s="142">
        <f>6950+6950</f>
        <v>13900</v>
      </c>
      <c r="X1153" s="142">
        <f>6075+6075</f>
        <v>12150</v>
      </c>
      <c r="Y1153" s="142">
        <f>5200+5200</f>
        <v>10400</v>
      </c>
      <c r="Z1153" s="500">
        <f>4325+4325</f>
        <v>8650</v>
      </c>
      <c r="AA1153" s="539">
        <f>3450+3450</f>
        <v>6900</v>
      </c>
      <c r="AB1153" s="21">
        <f>2925+2925</f>
        <v>5850</v>
      </c>
      <c r="AC1153" s="21">
        <f>2400+2400</f>
        <v>4800</v>
      </c>
      <c r="AD1153" s="21">
        <f>1950+1950</f>
        <v>3900</v>
      </c>
      <c r="AE1153" s="21">
        <f>1462.5+1462.5</f>
        <v>2925</v>
      </c>
      <c r="AF1153" s="21">
        <f>975+975</f>
        <v>1950</v>
      </c>
      <c r="AG1153" s="21">
        <f>487.5+487.5</f>
        <v>975</v>
      </c>
      <c r="AH1153" s="17" t="s">
        <v>11</v>
      </c>
      <c r="AI1153" s="17"/>
      <c r="AJ1153" s="17"/>
      <c r="AK1153" s="17"/>
      <c r="AL1153" s="17"/>
      <c r="AM1153" s="17"/>
      <c r="AN1153" s="17"/>
      <c r="AO1153" s="17"/>
      <c r="AP1153" s="17"/>
      <c r="AQ1153" s="17"/>
      <c r="AR1153" s="17"/>
      <c r="AS1153" s="17"/>
      <c r="AT1153" s="17"/>
    </row>
    <row r="1154" spans="1:46" s="6" customFormat="1" ht="13.8" thickBot="1" x14ac:dyDescent="0.3">
      <c r="A1154" s="409" t="s">
        <v>1115</v>
      </c>
      <c r="B1154" s="120"/>
      <c r="C1154" s="307"/>
      <c r="D1154" s="85"/>
      <c r="E1154" s="86" t="s">
        <v>17</v>
      </c>
      <c r="F1154" s="86" t="s">
        <v>408</v>
      </c>
      <c r="G1154" s="125"/>
      <c r="H1154" s="125"/>
      <c r="I1154" s="125"/>
      <c r="J1154" s="365" t="s">
        <v>6</v>
      </c>
      <c r="K1154" s="350">
        <f>K1153+K1152</f>
        <v>645383.89</v>
      </c>
      <c r="L1154" s="43"/>
      <c r="M1154" s="43"/>
      <c r="N1154" s="43"/>
      <c r="O1154" s="43"/>
      <c r="P1154" s="43"/>
      <c r="Q1154" s="43"/>
      <c r="R1154" s="43"/>
      <c r="S1154" s="43">
        <f t="shared" ref="S1154:AG1154" si="905">S1153+S1152</f>
        <v>55783.89</v>
      </c>
      <c r="T1154" s="43">
        <f t="shared" si="905"/>
        <v>54150</v>
      </c>
      <c r="U1154" s="43">
        <f t="shared" si="905"/>
        <v>52400</v>
      </c>
      <c r="V1154" s="43">
        <f t="shared" si="905"/>
        <v>50650</v>
      </c>
      <c r="W1154" s="43">
        <f t="shared" si="905"/>
        <v>48900</v>
      </c>
      <c r="X1154" s="43">
        <f t="shared" si="905"/>
        <v>47150</v>
      </c>
      <c r="Y1154" s="43">
        <f t="shared" si="905"/>
        <v>45400</v>
      </c>
      <c r="Z1154" s="499">
        <f t="shared" si="905"/>
        <v>43650</v>
      </c>
      <c r="AA1154" s="538">
        <f t="shared" si="905"/>
        <v>41900</v>
      </c>
      <c r="AB1154" s="43">
        <f t="shared" si="905"/>
        <v>40850</v>
      </c>
      <c r="AC1154" s="43">
        <f t="shared" si="905"/>
        <v>34800</v>
      </c>
      <c r="AD1154" s="43">
        <f t="shared" si="905"/>
        <v>33900</v>
      </c>
      <c r="AE1154" s="43">
        <f t="shared" si="905"/>
        <v>32925</v>
      </c>
      <c r="AF1154" s="43">
        <f t="shared" si="905"/>
        <v>31950</v>
      </c>
      <c r="AG1154" s="43">
        <f t="shared" si="905"/>
        <v>30975</v>
      </c>
      <c r="AH1154" s="41" t="s">
        <v>11</v>
      </c>
      <c r="AI1154" s="41"/>
      <c r="AJ1154" s="41"/>
      <c r="AK1154" s="41"/>
      <c r="AL1154" s="41"/>
      <c r="AM1154" s="41"/>
      <c r="AN1154" s="41"/>
      <c r="AO1154" s="41"/>
      <c r="AP1154" s="41"/>
      <c r="AQ1154" s="41"/>
      <c r="AR1154" s="41"/>
      <c r="AS1154" s="41"/>
      <c r="AT1154" s="41"/>
    </row>
    <row r="1155" spans="1:46" s="2" customFormat="1" x14ac:dyDescent="0.25">
      <c r="A1155" s="26" t="s">
        <v>98</v>
      </c>
      <c r="B1155" s="26" t="s">
        <v>96</v>
      </c>
      <c r="C1155" s="306"/>
      <c r="D1155" s="54" t="s">
        <v>3</v>
      </c>
      <c r="E1155" s="284">
        <v>43193</v>
      </c>
      <c r="F1155" s="385" t="s">
        <v>258</v>
      </c>
      <c r="G1155" s="323" t="s">
        <v>129</v>
      </c>
      <c r="H1155" s="323">
        <v>31300278</v>
      </c>
      <c r="I1155" s="323">
        <v>585002</v>
      </c>
      <c r="J1155" s="2" t="s">
        <v>1</v>
      </c>
      <c r="K1155" s="27">
        <v>350000</v>
      </c>
      <c r="L1155" s="4"/>
      <c r="M1155" s="4"/>
      <c r="N1155" s="4"/>
      <c r="O1155" s="4"/>
      <c r="P1155" s="283"/>
      <c r="Q1155" s="283"/>
      <c r="R1155" s="283"/>
      <c r="S1155" s="283">
        <v>35000</v>
      </c>
      <c r="T1155" s="283">
        <v>35000</v>
      </c>
      <c r="U1155" s="283">
        <v>35000</v>
      </c>
      <c r="V1155" s="283">
        <v>35000</v>
      </c>
      <c r="W1155" s="283">
        <v>35000</v>
      </c>
      <c r="X1155" s="283">
        <v>35000</v>
      </c>
      <c r="Y1155" s="283">
        <v>35000</v>
      </c>
      <c r="Z1155" s="497">
        <v>35000</v>
      </c>
      <c r="AA1155" s="536">
        <v>35000</v>
      </c>
      <c r="AB1155" s="5">
        <v>35000</v>
      </c>
      <c r="AC1155" s="2" t="s">
        <v>11</v>
      </c>
    </row>
    <row r="1156" spans="1:46" s="2" customFormat="1" x14ac:dyDescent="0.25">
      <c r="A1156" s="400" t="s">
        <v>1054</v>
      </c>
      <c r="B1156" s="26"/>
      <c r="C1156" s="306"/>
      <c r="D1156" s="54"/>
      <c r="E1156" s="34" t="s">
        <v>12</v>
      </c>
      <c r="F1156" s="35"/>
      <c r="G1156" s="35" t="s">
        <v>888</v>
      </c>
      <c r="H1156" s="146" t="s">
        <v>1105</v>
      </c>
      <c r="I1156" s="35"/>
      <c r="J1156" s="17" t="s">
        <v>2</v>
      </c>
      <c r="K1156" s="347">
        <v>82860.56</v>
      </c>
      <c r="L1156" s="11"/>
      <c r="M1156" s="11"/>
      <c r="N1156" s="11"/>
      <c r="O1156" s="11"/>
      <c r="P1156" s="142"/>
      <c r="Q1156" s="142"/>
      <c r="R1156" s="142"/>
      <c r="S1156" s="142">
        <f>7960.56+8050</f>
        <v>16010.560000000001</v>
      </c>
      <c r="T1156" s="142">
        <f>7175+7175</f>
        <v>14350</v>
      </c>
      <c r="U1156" s="142">
        <f>6300+6300</f>
        <v>12600</v>
      </c>
      <c r="V1156" s="142">
        <f>5425+5425</f>
        <v>10850</v>
      </c>
      <c r="W1156" s="142">
        <f>4550+4550</f>
        <v>9100</v>
      </c>
      <c r="X1156" s="142">
        <f>3675+3675</f>
        <v>7350</v>
      </c>
      <c r="Y1156" s="142">
        <f>2800+2800</f>
        <v>5600</v>
      </c>
      <c r="Z1156" s="500">
        <f>1925+1925</f>
        <v>3850</v>
      </c>
      <c r="AA1156" s="539">
        <f>1050+1050</f>
        <v>2100</v>
      </c>
      <c r="AB1156" s="21">
        <f>525+525</f>
        <v>1050</v>
      </c>
      <c r="AC1156" s="17" t="s">
        <v>11</v>
      </c>
      <c r="AD1156" s="17"/>
      <c r="AE1156" s="17"/>
      <c r="AF1156" s="17"/>
      <c r="AG1156" s="17"/>
      <c r="AH1156" s="17"/>
      <c r="AI1156" s="17"/>
      <c r="AJ1156" s="17"/>
      <c r="AK1156" s="17"/>
      <c r="AL1156" s="17"/>
      <c r="AM1156" s="17"/>
      <c r="AN1156" s="17"/>
      <c r="AO1156" s="17"/>
      <c r="AP1156" s="17"/>
      <c r="AQ1156" s="17"/>
      <c r="AR1156" s="17"/>
      <c r="AS1156" s="17"/>
      <c r="AT1156" s="17"/>
    </row>
    <row r="1157" spans="1:46" s="6" customFormat="1" ht="13.8" thickBot="1" x14ac:dyDescent="0.3">
      <c r="A1157" s="409" t="s">
        <v>1115</v>
      </c>
      <c r="B1157" s="120"/>
      <c r="C1157" s="307"/>
      <c r="D1157" s="85"/>
      <c r="E1157" s="86" t="s">
        <v>17</v>
      </c>
      <c r="F1157" s="86" t="s">
        <v>408</v>
      </c>
      <c r="G1157" s="125"/>
      <c r="H1157" s="125"/>
      <c r="I1157" s="125"/>
      <c r="J1157" s="365" t="s">
        <v>6</v>
      </c>
      <c r="K1157" s="350">
        <f>K1156+K1155</f>
        <v>432860.56</v>
      </c>
      <c r="L1157" s="43"/>
      <c r="M1157" s="43"/>
      <c r="N1157" s="43"/>
      <c r="O1157" s="43"/>
      <c r="P1157" s="43"/>
      <c r="Q1157" s="43"/>
      <c r="R1157" s="43"/>
      <c r="S1157" s="43">
        <f t="shared" ref="S1157:AA1157" si="906">S1156+S1155</f>
        <v>51010.559999999998</v>
      </c>
      <c r="T1157" s="43">
        <f t="shared" si="906"/>
        <v>49350</v>
      </c>
      <c r="U1157" s="43">
        <f t="shared" si="906"/>
        <v>47600</v>
      </c>
      <c r="V1157" s="43">
        <f t="shared" si="906"/>
        <v>45850</v>
      </c>
      <c r="W1157" s="43">
        <f t="shared" si="906"/>
        <v>44100</v>
      </c>
      <c r="X1157" s="43">
        <f t="shared" si="906"/>
        <v>42350</v>
      </c>
      <c r="Y1157" s="43">
        <f t="shared" si="906"/>
        <v>40600</v>
      </c>
      <c r="Z1157" s="499">
        <f t="shared" si="906"/>
        <v>38850</v>
      </c>
      <c r="AA1157" s="538">
        <f t="shared" si="906"/>
        <v>37100</v>
      </c>
      <c r="AB1157" s="43">
        <f t="shared" ref="AB1157" si="907">AB1156+AB1155</f>
        <v>36050</v>
      </c>
      <c r="AC1157" s="41" t="s">
        <v>11</v>
      </c>
      <c r="AD1157" s="41"/>
      <c r="AE1157" s="41"/>
      <c r="AF1157" s="41"/>
      <c r="AG1157" s="41"/>
      <c r="AH1157" s="41"/>
      <c r="AI1157" s="41"/>
      <c r="AJ1157" s="41"/>
      <c r="AK1157" s="41"/>
      <c r="AL1157" s="41"/>
      <c r="AM1157" s="41"/>
      <c r="AN1157" s="41"/>
      <c r="AO1157" s="41"/>
      <c r="AP1157" s="41"/>
      <c r="AQ1157" s="41"/>
      <c r="AR1157" s="41"/>
      <c r="AS1157" s="41"/>
      <c r="AT1157" s="41"/>
    </row>
    <row r="1158" spans="1:46" s="2" customFormat="1" x14ac:dyDescent="0.25">
      <c r="A1158" s="26" t="s">
        <v>98</v>
      </c>
      <c r="B1158" s="26" t="s">
        <v>96</v>
      </c>
      <c r="C1158" s="306"/>
      <c r="D1158" s="54" t="s">
        <v>3</v>
      </c>
      <c r="E1158" s="34">
        <v>43193</v>
      </c>
      <c r="F1158" s="385" t="s">
        <v>266</v>
      </c>
      <c r="G1158" s="35" t="s">
        <v>829</v>
      </c>
      <c r="H1158" s="35">
        <v>31300278</v>
      </c>
      <c r="I1158" s="35">
        <v>585106</v>
      </c>
      <c r="J1158" s="2" t="s">
        <v>1</v>
      </c>
      <c r="K1158" s="27">
        <v>65000</v>
      </c>
      <c r="L1158" s="4"/>
      <c r="M1158" s="4"/>
      <c r="N1158" s="4"/>
      <c r="O1158" s="4"/>
      <c r="P1158" s="283"/>
      <c r="Q1158" s="283"/>
      <c r="R1158" s="283"/>
      <c r="S1158" s="283">
        <v>15000</v>
      </c>
      <c r="T1158" s="283">
        <v>15000</v>
      </c>
      <c r="U1158" s="283">
        <v>15000</v>
      </c>
      <c r="V1158" s="283">
        <v>10000</v>
      </c>
      <c r="W1158" s="283">
        <v>10000</v>
      </c>
      <c r="X1158" s="2" t="s">
        <v>11</v>
      </c>
      <c r="Z1158" s="490"/>
      <c r="AA1158" s="60"/>
    </row>
    <row r="1159" spans="1:46" s="2" customFormat="1" x14ac:dyDescent="0.25">
      <c r="A1159" s="400" t="s">
        <v>1055</v>
      </c>
      <c r="B1159" s="26"/>
      <c r="C1159" s="306"/>
      <c r="D1159" s="54"/>
      <c r="E1159" s="34" t="s">
        <v>12</v>
      </c>
      <c r="F1159" s="35"/>
      <c r="G1159" s="35" t="s">
        <v>889</v>
      </c>
      <c r="H1159" s="35" t="s">
        <v>1106</v>
      </c>
      <c r="I1159" s="35"/>
      <c r="J1159" s="17" t="s">
        <v>2</v>
      </c>
      <c r="K1159" s="379">
        <v>8981.94</v>
      </c>
      <c r="L1159" s="11"/>
      <c r="M1159" s="11"/>
      <c r="N1159" s="11"/>
      <c r="O1159" s="11"/>
      <c r="P1159" s="142"/>
      <c r="Q1159" s="142"/>
      <c r="R1159" s="142"/>
      <c r="S1159" s="142">
        <f>1606.94+1625</f>
        <v>3231.94</v>
      </c>
      <c r="T1159" s="142">
        <f>1250+1250</f>
        <v>2500</v>
      </c>
      <c r="U1159" s="142">
        <f>875+875</f>
        <v>1750</v>
      </c>
      <c r="V1159" s="142">
        <f>500+500</f>
        <v>1000</v>
      </c>
      <c r="W1159" s="142">
        <f>250+250</f>
        <v>500</v>
      </c>
      <c r="X1159" s="17" t="s">
        <v>11</v>
      </c>
      <c r="Y1159" s="17"/>
      <c r="Z1159" s="491"/>
      <c r="AA1159" s="532"/>
      <c r="AB1159" s="17"/>
      <c r="AC1159" s="17"/>
      <c r="AD1159" s="17"/>
      <c r="AE1159" s="17"/>
      <c r="AF1159" s="17"/>
      <c r="AG1159" s="17"/>
      <c r="AH1159" s="17"/>
      <c r="AI1159" s="17"/>
      <c r="AJ1159" s="17"/>
      <c r="AK1159" s="17"/>
      <c r="AL1159" s="17"/>
      <c r="AM1159" s="17"/>
      <c r="AN1159" s="17"/>
      <c r="AO1159" s="17"/>
      <c r="AP1159" s="17"/>
      <c r="AQ1159" s="17"/>
      <c r="AR1159" s="17"/>
      <c r="AS1159" s="17"/>
      <c r="AT1159" s="17"/>
    </row>
    <row r="1160" spans="1:46" s="6" customFormat="1" ht="13.8" thickBot="1" x14ac:dyDescent="0.3">
      <c r="A1160" s="409" t="s">
        <v>1115</v>
      </c>
      <c r="B1160" s="120"/>
      <c r="C1160" s="307"/>
      <c r="D1160" s="85"/>
      <c r="E1160" s="86" t="s">
        <v>17</v>
      </c>
      <c r="F1160" s="86" t="s">
        <v>410</v>
      </c>
      <c r="G1160" s="125"/>
      <c r="H1160" s="125"/>
      <c r="I1160" s="125"/>
      <c r="J1160" s="365" t="s">
        <v>6</v>
      </c>
      <c r="K1160" s="350">
        <f>K1159+K1158</f>
        <v>73981.94</v>
      </c>
      <c r="L1160" s="43"/>
      <c r="M1160" s="43"/>
      <c r="N1160" s="43"/>
      <c r="O1160" s="43"/>
      <c r="P1160" s="43"/>
      <c r="Q1160" s="43"/>
      <c r="R1160" s="43"/>
      <c r="S1160" s="43">
        <f t="shared" ref="S1160:V1160" si="908">S1159+S1158</f>
        <v>18231.939999999999</v>
      </c>
      <c r="T1160" s="43">
        <f t="shared" si="908"/>
        <v>17500</v>
      </c>
      <c r="U1160" s="43">
        <f t="shared" si="908"/>
        <v>16750</v>
      </c>
      <c r="V1160" s="43">
        <f t="shared" si="908"/>
        <v>11000</v>
      </c>
      <c r="W1160" s="43">
        <f t="shared" ref="W1160" si="909">W1159+W1158</f>
        <v>10500</v>
      </c>
      <c r="X1160" s="41" t="s">
        <v>11</v>
      </c>
      <c r="Y1160" s="41"/>
      <c r="Z1160" s="492"/>
      <c r="AA1160" s="533"/>
      <c r="AB1160" s="41"/>
      <c r="AC1160" s="41"/>
      <c r="AD1160" s="41"/>
      <c r="AE1160" s="41"/>
      <c r="AF1160" s="41"/>
      <c r="AG1160" s="41"/>
      <c r="AH1160" s="41"/>
      <c r="AI1160" s="41"/>
      <c r="AJ1160" s="41"/>
      <c r="AK1160" s="41"/>
      <c r="AL1160" s="41"/>
      <c r="AM1160" s="41"/>
      <c r="AN1160" s="41"/>
      <c r="AO1160" s="41"/>
      <c r="AP1160" s="41"/>
      <c r="AQ1160" s="41"/>
      <c r="AR1160" s="41"/>
      <c r="AS1160" s="41"/>
      <c r="AT1160" s="41"/>
    </row>
    <row r="1161" spans="1:46" s="2" customFormat="1" x14ac:dyDescent="0.25">
      <c r="A1161" s="26" t="s">
        <v>95</v>
      </c>
      <c r="B1161" s="26" t="s">
        <v>96</v>
      </c>
      <c r="C1161" s="306"/>
      <c r="D1161" s="54" t="s">
        <v>3</v>
      </c>
      <c r="E1161" s="34">
        <v>43193</v>
      </c>
      <c r="F1161" s="385" t="s">
        <v>266</v>
      </c>
      <c r="G1161" s="35" t="s">
        <v>504</v>
      </c>
      <c r="H1161" s="35">
        <v>31300278</v>
      </c>
      <c r="I1161" s="35">
        <v>582021</v>
      </c>
      <c r="J1161" s="2" t="s">
        <v>1</v>
      </c>
      <c r="K1161" s="27">
        <v>75000</v>
      </c>
      <c r="L1161" s="4"/>
      <c r="M1161" s="4"/>
      <c r="N1161" s="4"/>
      <c r="O1161" s="4"/>
      <c r="P1161" s="283"/>
      <c r="Q1161" s="283"/>
      <c r="R1161" s="283"/>
      <c r="S1161" s="283">
        <v>15000</v>
      </c>
      <c r="T1161" s="283">
        <v>15000</v>
      </c>
      <c r="U1161" s="283">
        <v>15000</v>
      </c>
      <c r="V1161" s="283">
        <v>15000</v>
      </c>
      <c r="W1161" s="283">
        <v>15000</v>
      </c>
      <c r="X1161" s="2" t="s">
        <v>11</v>
      </c>
      <c r="Z1161" s="490"/>
      <c r="AA1161" s="60"/>
    </row>
    <row r="1162" spans="1:46" s="2" customFormat="1" x14ac:dyDescent="0.25">
      <c r="A1162" s="400" t="s">
        <v>1056</v>
      </c>
      <c r="B1162" s="26"/>
      <c r="C1162" s="306"/>
      <c r="D1162" s="54"/>
      <c r="E1162" s="34" t="s">
        <v>12</v>
      </c>
      <c r="F1162" s="35"/>
      <c r="G1162" s="35" t="s">
        <v>890</v>
      </c>
      <c r="H1162" s="35" t="s">
        <v>1106</v>
      </c>
      <c r="I1162" s="35"/>
      <c r="J1162" s="17" t="s">
        <v>2</v>
      </c>
      <c r="K1162" s="379">
        <v>11229.17</v>
      </c>
      <c r="L1162" s="11"/>
      <c r="M1162" s="11"/>
      <c r="N1162" s="11"/>
      <c r="O1162" s="11"/>
      <c r="P1162" s="142"/>
      <c r="Q1162" s="142"/>
      <c r="R1162" s="142"/>
      <c r="S1162" s="142">
        <f>1854.17+1875</f>
        <v>3729.17</v>
      </c>
      <c r="T1162" s="142">
        <f>1500+1500</f>
        <v>3000</v>
      </c>
      <c r="U1162" s="142">
        <f>1125+1125</f>
        <v>2250</v>
      </c>
      <c r="V1162" s="142">
        <f>750+750</f>
        <v>1500</v>
      </c>
      <c r="W1162" s="142">
        <f>375+375</f>
        <v>750</v>
      </c>
      <c r="X1162" s="17" t="s">
        <v>11</v>
      </c>
      <c r="Y1162" s="17"/>
      <c r="Z1162" s="491"/>
      <c r="AA1162" s="532"/>
      <c r="AB1162" s="17"/>
      <c r="AC1162" s="17"/>
      <c r="AD1162" s="17"/>
      <c r="AE1162" s="17"/>
      <c r="AF1162" s="17"/>
      <c r="AG1162" s="17"/>
      <c r="AH1162" s="17"/>
      <c r="AI1162" s="17"/>
      <c r="AJ1162" s="17"/>
      <c r="AK1162" s="17"/>
      <c r="AL1162" s="17"/>
      <c r="AM1162" s="17"/>
      <c r="AN1162" s="17"/>
      <c r="AO1162" s="17"/>
      <c r="AP1162" s="17"/>
      <c r="AQ1162" s="17"/>
      <c r="AR1162" s="17"/>
      <c r="AS1162" s="17"/>
      <c r="AT1162" s="17"/>
    </row>
    <row r="1163" spans="1:46" s="6" customFormat="1" ht="13.8" thickBot="1" x14ac:dyDescent="0.3">
      <c r="A1163" s="120"/>
      <c r="B1163" s="120"/>
      <c r="C1163" s="307"/>
      <c r="D1163" s="85"/>
      <c r="E1163" s="86" t="s">
        <v>161</v>
      </c>
      <c r="F1163" s="86" t="s">
        <v>410</v>
      </c>
      <c r="G1163" s="125"/>
      <c r="H1163" s="125"/>
      <c r="I1163" s="125"/>
      <c r="J1163" s="365" t="s">
        <v>6</v>
      </c>
      <c r="K1163" s="350">
        <f>K1162+K1161</f>
        <v>86229.17</v>
      </c>
      <c r="L1163" s="43"/>
      <c r="M1163" s="43"/>
      <c r="N1163" s="43"/>
      <c r="O1163" s="43"/>
      <c r="P1163" s="43"/>
      <c r="Q1163" s="43"/>
      <c r="R1163" s="43"/>
      <c r="S1163" s="43">
        <f t="shared" ref="S1163:W1163" si="910">S1162+S1161</f>
        <v>18729.169999999998</v>
      </c>
      <c r="T1163" s="43">
        <f t="shared" si="910"/>
        <v>18000</v>
      </c>
      <c r="U1163" s="43">
        <f t="shared" si="910"/>
        <v>17250</v>
      </c>
      <c r="V1163" s="43">
        <f t="shared" si="910"/>
        <v>16500</v>
      </c>
      <c r="W1163" s="43">
        <f t="shared" si="910"/>
        <v>15750</v>
      </c>
      <c r="X1163" s="41" t="s">
        <v>11</v>
      </c>
      <c r="Y1163" s="41"/>
      <c r="Z1163" s="492"/>
      <c r="AA1163" s="533"/>
      <c r="AB1163" s="41"/>
      <c r="AC1163" s="41"/>
      <c r="AD1163" s="41"/>
      <c r="AE1163" s="41"/>
      <c r="AF1163" s="41"/>
      <c r="AG1163" s="41"/>
      <c r="AH1163" s="41"/>
      <c r="AI1163" s="41"/>
      <c r="AJ1163" s="41"/>
      <c r="AK1163" s="41"/>
      <c r="AL1163" s="41"/>
      <c r="AM1163" s="41"/>
      <c r="AN1163" s="41"/>
      <c r="AO1163" s="41"/>
      <c r="AP1163" s="41"/>
      <c r="AQ1163" s="41"/>
      <c r="AR1163" s="41"/>
      <c r="AS1163" s="41"/>
      <c r="AT1163" s="41"/>
    </row>
    <row r="1164" spans="1:46" s="2" customFormat="1" x14ac:dyDescent="0.25">
      <c r="A1164" s="26" t="s">
        <v>99</v>
      </c>
      <c r="B1164" s="26" t="s">
        <v>96</v>
      </c>
      <c r="C1164" s="306"/>
      <c r="D1164" s="54" t="s">
        <v>3</v>
      </c>
      <c r="E1164" s="34">
        <v>43193</v>
      </c>
      <c r="F1164" s="385" t="s">
        <v>266</v>
      </c>
      <c r="G1164" s="313" t="s">
        <v>457</v>
      </c>
      <c r="H1164" s="313">
        <v>31422278</v>
      </c>
      <c r="I1164" s="313">
        <v>586200</v>
      </c>
      <c r="J1164" s="2" t="s">
        <v>1</v>
      </c>
      <c r="K1164" s="27">
        <v>500000</v>
      </c>
      <c r="L1164" s="5"/>
      <c r="M1164" s="4"/>
      <c r="N1164" s="4"/>
      <c r="O1164" s="4"/>
      <c r="P1164" s="283"/>
      <c r="Q1164" s="283"/>
      <c r="R1164" s="283"/>
      <c r="S1164" s="283">
        <v>35000</v>
      </c>
      <c r="T1164" s="283">
        <v>35000</v>
      </c>
      <c r="U1164" s="283">
        <v>35000</v>
      </c>
      <c r="V1164" s="283">
        <v>35000</v>
      </c>
      <c r="W1164" s="283">
        <v>35000</v>
      </c>
      <c r="X1164" s="283">
        <v>35000</v>
      </c>
      <c r="Y1164" s="283">
        <v>35000</v>
      </c>
      <c r="Z1164" s="497">
        <v>35000</v>
      </c>
      <c r="AA1164" s="536">
        <v>35000</v>
      </c>
      <c r="AB1164" s="5">
        <v>35000</v>
      </c>
      <c r="AC1164" s="5">
        <v>30000</v>
      </c>
      <c r="AD1164" s="5">
        <v>30000</v>
      </c>
      <c r="AE1164" s="5">
        <v>30000</v>
      </c>
      <c r="AF1164" s="5">
        <v>30000</v>
      </c>
      <c r="AG1164" s="5">
        <v>30000</v>
      </c>
      <c r="AH1164" s="2" t="s">
        <v>11</v>
      </c>
    </row>
    <row r="1165" spans="1:46" s="2" customFormat="1" x14ac:dyDescent="0.25">
      <c r="A1165" s="400" t="s">
        <v>1057</v>
      </c>
      <c r="B1165" s="26"/>
      <c r="C1165" s="306"/>
      <c r="D1165" s="54"/>
      <c r="E1165" s="34" t="s">
        <v>12</v>
      </c>
      <c r="F1165" s="34"/>
      <c r="G1165" s="35" t="s">
        <v>891</v>
      </c>
      <c r="H1165" s="146" t="s">
        <v>1107</v>
      </c>
      <c r="I1165" s="35"/>
      <c r="J1165" s="17" t="s">
        <v>2</v>
      </c>
      <c r="K1165" s="347">
        <v>145383.89000000001</v>
      </c>
      <c r="L1165" s="21"/>
      <c r="M1165" s="11"/>
      <c r="N1165" s="11"/>
      <c r="O1165" s="11"/>
      <c r="P1165" s="142"/>
      <c r="Q1165" s="142"/>
      <c r="R1165" s="142"/>
      <c r="S1165" s="142">
        <f>10333.89+10450</f>
        <v>20783.89</v>
      </c>
      <c r="T1165" s="142">
        <f>9575+9575</f>
        <v>19150</v>
      </c>
      <c r="U1165" s="142">
        <f>8700+8700</f>
        <v>17400</v>
      </c>
      <c r="V1165" s="142">
        <f>7825+7825</f>
        <v>15650</v>
      </c>
      <c r="W1165" s="142">
        <f>6950+6950</f>
        <v>13900</v>
      </c>
      <c r="X1165" s="142">
        <f>6075+6075</f>
        <v>12150</v>
      </c>
      <c r="Y1165" s="142">
        <f>5200+5200</f>
        <v>10400</v>
      </c>
      <c r="Z1165" s="500">
        <f>4325+4325</f>
        <v>8650</v>
      </c>
      <c r="AA1165" s="539">
        <f>3450+3450</f>
        <v>6900</v>
      </c>
      <c r="AB1165" s="21">
        <f>2925+2925</f>
        <v>5850</v>
      </c>
      <c r="AC1165" s="21">
        <f>2400+2400</f>
        <v>4800</v>
      </c>
      <c r="AD1165" s="21">
        <f>1950+1950</f>
        <v>3900</v>
      </c>
      <c r="AE1165" s="21">
        <f>1462.5+1462.5</f>
        <v>2925</v>
      </c>
      <c r="AF1165" s="21">
        <f>975+975</f>
        <v>1950</v>
      </c>
      <c r="AG1165" s="21">
        <f>487.5+487.5</f>
        <v>975</v>
      </c>
      <c r="AH1165" s="17" t="s">
        <v>11</v>
      </c>
      <c r="AI1165" s="17"/>
      <c r="AJ1165" s="17"/>
      <c r="AK1165" s="17"/>
      <c r="AL1165" s="17"/>
      <c r="AM1165" s="17"/>
      <c r="AN1165" s="17"/>
      <c r="AO1165" s="17"/>
      <c r="AP1165" s="17"/>
      <c r="AQ1165" s="17"/>
      <c r="AR1165" s="17"/>
      <c r="AS1165" s="17"/>
      <c r="AT1165" s="17"/>
    </row>
    <row r="1166" spans="1:46" s="6" customFormat="1" ht="13.8" thickBot="1" x14ac:dyDescent="0.3">
      <c r="A1166" s="409" t="s">
        <v>1115</v>
      </c>
      <c r="B1166" s="120"/>
      <c r="C1166" s="307"/>
      <c r="D1166" s="85"/>
      <c r="E1166" s="86" t="s">
        <v>15</v>
      </c>
      <c r="F1166" s="86" t="s">
        <v>405</v>
      </c>
      <c r="G1166" s="125"/>
      <c r="H1166" s="125"/>
      <c r="I1166" s="125"/>
      <c r="J1166" s="365" t="s">
        <v>6</v>
      </c>
      <c r="K1166" s="350">
        <f>K1165+K1164</f>
        <v>645383.89</v>
      </c>
      <c r="L1166" s="43"/>
      <c r="M1166" s="43"/>
      <c r="N1166" s="43"/>
      <c r="O1166" s="43"/>
      <c r="P1166" s="43"/>
      <c r="Q1166" s="43"/>
      <c r="R1166" s="43"/>
      <c r="S1166" s="43">
        <f t="shared" ref="S1166:AG1166" si="911">S1165+S1164</f>
        <v>55783.89</v>
      </c>
      <c r="T1166" s="43">
        <f t="shared" si="911"/>
        <v>54150</v>
      </c>
      <c r="U1166" s="43">
        <f t="shared" si="911"/>
        <v>52400</v>
      </c>
      <c r="V1166" s="43">
        <f t="shared" si="911"/>
        <v>50650</v>
      </c>
      <c r="W1166" s="43">
        <f t="shared" si="911"/>
        <v>48900</v>
      </c>
      <c r="X1166" s="43">
        <f t="shared" si="911"/>
        <v>47150</v>
      </c>
      <c r="Y1166" s="43">
        <f t="shared" si="911"/>
        <v>45400</v>
      </c>
      <c r="Z1166" s="499">
        <f t="shared" si="911"/>
        <v>43650</v>
      </c>
      <c r="AA1166" s="538">
        <f t="shared" si="911"/>
        <v>41900</v>
      </c>
      <c r="AB1166" s="43">
        <f t="shared" si="911"/>
        <v>40850</v>
      </c>
      <c r="AC1166" s="43">
        <f t="shared" si="911"/>
        <v>34800</v>
      </c>
      <c r="AD1166" s="43">
        <f t="shared" si="911"/>
        <v>33900</v>
      </c>
      <c r="AE1166" s="43">
        <f t="shared" si="911"/>
        <v>32925</v>
      </c>
      <c r="AF1166" s="43">
        <f t="shared" si="911"/>
        <v>31950</v>
      </c>
      <c r="AG1166" s="43">
        <f t="shared" si="911"/>
        <v>30975</v>
      </c>
      <c r="AH1166" s="41" t="s">
        <v>11</v>
      </c>
      <c r="AI1166" s="41"/>
      <c r="AJ1166" s="41"/>
      <c r="AK1166" s="41"/>
      <c r="AL1166" s="41"/>
      <c r="AM1166" s="41"/>
      <c r="AN1166" s="41"/>
      <c r="AO1166" s="41"/>
      <c r="AP1166" s="41"/>
      <c r="AQ1166" s="41"/>
      <c r="AR1166" s="41"/>
      <c r="AS1166" s="41"/>
      <c r="AT1166" s="41"/>
    </row>
    <row r="1167" spans="1:46" s="2" customFormat="1" x14ac:dyDescent="0.25">
      <c r="A1167" s="26" t="s">
        <v>99</v>
      </c>
      <c r="B1167" s="26" t="s">
        <v>96</v>
      </c>
      <c r="C1167" s="306"/>
      <c r="D1167" s="54" t="s">
        <v>3</v>
      </c>
      <c r="E1167" s="34">
        <v>43193</v>
      </c>
      <c r="F1167" s="385" t="s">
        <v>266</v>
      </c>
      <c r="G1167" s="313" t="s">
        <v>892</v>
      </c>
      <c r="H1167" s="313">
        <v>31422278</v>
      </c>
      <c r="I1167" s="313">
        <v>586208</v>
      </c>
      <c r="J1167" s="2" t="s">
        <v>1</v>
      </c>
      <c r="K1167" s="27">
        <v>500000</v>
      </c>
      <c r="L1167" s="5"/>
      <c r="M1167" s="4"/>
      <c r="N1167" s="4"/>
      <c r="O1167" s="4"/>
      <c r="P1167" s="283"/>
      <c r="Q1167" s="283"/>
      <c r="R1167" s="283"/>
      <c r="S1167" s="283">
        <v>25000</v>
      </c>
      <c r="T1167" s="283">
        <v>25000</v>
      </c>
      <c r="U1167" s="283">
        <v>25000</v>
      </c>
      <c r="V1167" s="283">
        <v>25000</v>
      </c>
      <c r="W1167" s="283">
        <v>25000</v>
      </c>
      <c r="X1167" s="283">
        <v>25000</v>
      </c>
      <c r="Y1167" s="283">
        <v>25000</v>
      </c>
      <c r="Z1167" s="497">
        <v>25000</v>
      </c>
      <c r="AA1167" s="536">
        <v>25000</v>
      </c>
      <c r="AB1167" s="5">
        <v>25000</v>
      </c>
      <c r="AC1167" s="5">
        <v>25000</v>
      </c>
      <c r="AD1167" s="5">
        <v>25000</v>
      </c>
      <c r="AE1167" s="5">
        <v>25000</v>
      </c>
      <c r="AF1167" s="5">
        <v>25000</v>
      </c>
      <c r="AG1167" s="5">
        <v>25000</v>
      </c>
      <c r="AH1167" s="5">
        <v>25000</v>
      </c>
      <c r="AI1167" s="5">
        <v>25000</v>
      </c>
      <c r="AJ1167" s="5">
        <v>25000</v>
      </c>
      <c r="AK1167" s="5">
        <v>25000</v>
      </c>
      <c r="AL1167" s="5">
        <v>25000</v>
      </c>
      <c r="AM1167" s="2" t="s">
        <v>11</v>
      </c>
    </row>
    <row r="1168" spans="1:46" s="2" customFormat="1" x14ac:dyDescent="0.25">
      <c r="A1168" s="400" t="s">
        <v>1058</v>
      </c>
      <c r="B1168" s="26"/>
      <c r="C1168" s="306"/>
      <c r="D1168" s="54"/>
      <c r="E1168" s="34" t="s">
        <v>12</v>
      </c>
      <c r="F1168" s="34"/>
      <c r="G1168" s="35" t="s">
        <v>1152</v>
      </c>
      <c r="H1168" s="146" t="s">
        <v>1108</v>
      </c>
      <c r="I1168" s="35"/>
      <c r="J1168" s="17" t="s">
        <v>2</v>
      </c>
      <c r="K1168" s="28">
        <v>184391.32</v>
      </c>
      <c r="L1168" s="21"/>
      <c r="M1168" s="11"/>
      <c r="N1168" s="11"/>
      <c r="O1168" s="11"/>
      <c r="P1168" s="142"/>
      <c r="Q1168" s="142"/>
      <c r="R1168" s="142"/>
      <c r="S1168" s="142">
        <f>9672.57+9781.25</f>
        <v>19453.82</v>
      </c>
      <c r="T1168" s="142">
        <f>9156.25+9156.25</f>
        <v>18312.5</v>
      </c>
      <c r="U1168" s="142">
        <f>8531.25+8531.25</f>
        <v>17062.5</v>
      </c>
      <c r="V1168" s="142">
        <f>7906.25+7906.25</f>
        <v>15812.5</v>
      </c>
      <c r="W1168" s="142">
        <f>7281.25+7281.25</f>
        <v>14562.5</v>
      </c>
      <c r="X1168" s="142">
        <f>6656.25+6656.25</f>
        <v>13312.5</v>
      </c>
      <c r="Y1168" s="142">
        <f>6031.25+6031.25</f>
        <v>12062.5</v>
      </c>
      <c r="Z1168" s="500">
        <f>5406.25+5406.25</f>
        <v>10812.5</v>
      </c>
      <c r="AA1168" s="539">
        <f>4781.25+4781.25</f>
        <v>9562.5</v>
      </c>
      <c r="AB1168" s="21">
        <f>4406.25+4406.25</f>
        <v>8812.5</v>
      </c>
      <c r="AC1168" s="21">
        <f>4031.25+4031.25</f>
        <v>8062.5</v>
      </c>
      <c r="AD1168" s="21">
        <f>3656.25+3656.25</f>
        <v>7312.5</v>
      </c>
      <c r="AE1168" s="21">
        <f>3250+3250</f>
        <v>6500</v>
      </c>
      <c r="AF1168" s="21">
        <f>2843.75+2843.75</f>
        <v>5687.5</v>
      </c>
      <c r="AG1168" s="21">
        <f>2437.5+2437.5</f>
        <v>4875</v>
      </c>
      <c r="AH1168" s="21">
        <f>2031.25+2031.25</f>
        <v>4062.5</v>
      </c>
      <c r="AI1168" s="21">
        <f>1625+1625</f>
        <v>3250</v>
      </c>
      <c r="AJ1168" s="21">
        <f>1218.75+1218.75</f>
        <v>2437.5</v>
      </c>
      <c r="AK1168" s="21">
        <f>812.5+812.5</f>
        <v>1625</v>
      </c>
      <c r="AL1168" s="21">
        <f>406.25+406.25</f>
        <v>812.5</v>
      </c>
      <c r="AM1168" s="17" t="s">
        <v>11</v>
      </c>
      <c r="AN1168" s="17"/>
      <c r="AO1168" s="17"/>
      <c r="AP1168" s="17"/>
      <c r="AQ1168" s="17"/>
      <c r="AR1168" s="17"/>
      <c r="AS1168" s="17"/>
      <c r="AT1168" s="17"/>
    </row>
    <row r="1169" spans="1:46" s="6" customFormat="1" ht="13.8" thickBot="1" x14ac:dyDescent="0.3">
      <c r="A1169" s="409" t="s">
        <v>1115</v>
      </c>
      <c r="B1169" s="120"/>
      <c r="C1169" s="307"/>
      <c r="D1169" s="85"/>
      <c r="E1169" s="86" t="s">
        <v>15</v>
      </c>
      <c r="F1169" s="86" t="s">
        <v>405</v>
      </c>
      <c r="G1169" s="141" t="s">
        <v>893</v>
      </c>
      <c r="H1169" s="125"/>
      <c r="I1169" s="125"/>
      <c r="J1169" s="365" t="s">
        <v>6</v>
      </c>
      <c r="K1169" s="350">
        <f>K1168+K1167</f>
        <v>684391.32000000007</v>
      </c>
      <c r="L1169" s="43"/>
      <c r="M1169" s="43"/>
      <c r="N1169" s="43"/>
      <c r="O1169" s="43"/>
      <c r="P1169" s="43"/>
      <c r="Q1169" s="43"/>
      <c r="R1169" s="43"/>
      <c r="S1169" s="43">
        <f t="shared" ref="S1169:AL1169" si="912">S1168+S1167</f>
        <v>44453.82</v>
      </c>
      <c r="T1169" s="43">
        <f t="shared" si="912"/>
        <v>43312.5</v>
      </c>
      <c r="U1169" s="43">
        <f t="shared" si="912"/>
        <v>42062.5</v>
      </c>
      <c r="V1169" s="43">
        <f t="shared" si="912"/>
        <v>40812.5</v>
      </c>
      <c r="W1169" s="43">
        <f t="shared" si="912"/>
        <v>39562.5</v>
      </c>
      <c r="X1169" s="43">
        <f t="shared" si="912"/>
        <v>38312.5</v>
      </c>
      <c r="Y1169" s="43">
        <f t="shared" si="912"/>
        <v>37062.5</v>
      </c>
      <c r="Z1169" s="499">
        <f t="shared" si="912"/>
        <v>35812.5</v>
      </c>
      <c r="AA1169" s="538">
        <f t="shared" si="912"/>
        <v>34562.5</v>
      </c>
      <c r="AB1169" s="43">
        <f t="shared" si="912"/>
        <v>33812.5</v>
      </c>
      <c r="AC1169" s="43">
        <f t="shared" si="912"/>
        <v>33062.5</v>
      </c>
      <c r="AD1169" s="43">
        <f t="shared" si="912"/>
        <v>32312.5</v>
      </c>
      <c r="AE1169" s="43">
        <f t="shared" si="912"/>
        <v>31500</v>
      </c>
      <c r="AF1169" s="43">
        <f t="shared" si="912"/>
        <v>30687.5</v>
      </c>
      <c r="AG1169" s="43">
        <f t="shared" si="912"/>
        <v>29875</v>
      </c>
      <c r="AH1169" s="43">
        <f t="shared" si="912"/>
        <v>29062.5</v>
      </c>
      <c r="AI1169" s="43">
        <f t="shared" si="912"/>
        <v>28250</v>
      </c>
      <c r="AJ1169" s="43">
        <f t="shared" si="912"/>
        <v>27437.5</v>
      </c>
      <c r="AK1169" s="43">
        <f t="shared" si="912"/>
        <v>26625</v>
      </c>
      <c r="AL1169" s="43">
        <f t="shared" si="912"/>
        <v>25812.5</v>
      </c>
      <c r="AM1169" s="41" t="s">
        <v>11</v>
      </c>
      <c r="AN1169" s="41"/>
      <c r="AO1169" s="41"/>
      <c r="AP1169" s="41"/>
      <c r="AQ1169" s="41"/>
      <c r="AR1169" s="41"/>
      <c r="AS1169" s="41"/>
      <c r="AT1169" s="41"/>
    </row>
    <row r="1170" spans="1:46" s="2" customFormat="1" x14ac:dyDescent="0.25">
      <c r="A1170" s="26" t="s">
        <v>101</v>
      </c>
      <c r="B1170" s="26" t="s">
        <v>96</v>
      </c>
      <c r="C1170" s="306"/>
      <c r="D1170" s="54" t="s">
        <v>3</v>
      </c>
      <c r="E1170" s="34">
        <v>43193</v>
      </c>
      <c r="F1170" s="385" t="s">
        <v>266</v>
      </c>
      <c r="G1170" s="320" t="s">
        <v>894</v>
      </c>
      <c r="H1170" s="320">
        <v>31422278</v>
      </c>
      <c r="I1170" s="320">
        <v>582025</v>
      </c>
      <c r="J1170" s="2" t="s">
        <v>1</v>
      </c>
      <c r="K1170" s="27">
        <v>475000</v>
      </c>
      <c r="L1170" s="5"/>
      <c r="M1170" s="4"/>
      <c r="N1170" s="4"/>
      <c r="O1170" s="4"/>
      <c r="P1170" s="283"/>
      <c r="Q1170" s="283"/>
      <c r="R1170" s="283"/>
      <c r="S1170" s="283">
        <v>25000</v>
      </c>
      <c r="T1170" s="283">
        <v>25000</v>
      </c>
      <c r="U1170" s="283">
        <v>25000</v>
      </c>
      <c r="V1170" s="283">
        <v>25000</v>
      </c>
      <c r="W1170" s="283">
        <v>25000</v>
      </c>
      <c r="X1170" s="283">
        <v>25000</v>
      </c>
      <c r="Y1170" s="283">
        <v>25000</v>
      </c>
      <c r="Z1170" s="497">
        <v>25000</v>
      </c>
      <c r="AA1170" s="536">
        <v>25000</v>
      </c>
      <c r="AB1170" s="5">
        <v>25000</v>
      </c>
      <c r="AC1170" s="5">
        <v>25000</v>
      </c>
      <c r="AD1170" s="5">
        <v>25000</v>
      </c>
      <c r="AE1170" s="5">
        <v>25000</v>
      </c>
      <c r="AF1170" s="5">
        <v>25000</v>
      </c>
      <c r="AG1170" s="5">
        <v>25000</v>
      </c>
      <c r="AH1170" s="5">
        <v>20000</v>
      </c>
      <c r="AI1170" s="5">
        <v>20000</v>
      </c>
      <c r="AJ1170" s="5">
        <v>20000</v>
      </c>
      <c r="AK1170" s="5">
        <v>20000</v>
      </c>
      <c r="AL1170" s="5">
        <v>20000</v>
      </c>
      <c r="AM1170" s="2" t="s">
        <v>11</v>
      </c>
    </row>
    <row r="1171" spans="1:46" s="2" customFormat="1" x14ac:dyDescent="0.25">
      <c r="A1171" s="400" t="s">
        <v>1059</v>
      </c>
      <c r="B1171" s="26"/>
      <c r="C1171" s="306"/>
      <c r="D1171" s="54"/>
      <c r="E1171" s="34" t="s">
        <v>12</v>
      </c>
      <c r="F1171" s="34"/>
      <c r="G1171" s="35" t="s">
        <v>895</v>
      </c>
      <c r="H1171" s="146" t="s">
        <v>1108</v>
      </c>
      <c r="I1171" s="35"/>
      <c r="J1171" s="17" t="s">
        <v>2</v>
      </c>
      <c r="K1171" s="379">
        <v>169770.83</v>
      </c>
      <c r="L1171" s="21"/>
      <c r="M1171" s="11"/>
      <c r="N1171" s="11"/>
      <c r="O1171" s="11"/>
      <c r="P1171" s="142"/>
      <c r="Q1171" s="142"/>
      <c r="R1171" s="142"/>
      <c r="S1171" s="142">
        <f>9270.83+9375</f>
        <v>18645.830000000002</v>
      </c>
      <c r="T1171" s="142">
        <f>8750+8750</f>
        <v>17500</v>
      </c>
      <c r="U1171" s="142">
        <f>8125+8125</f>
        <v>16250</v>
      </c>
      <c r="V1171" s="142">
        <f>7500+7500</f>
        <v>15000</v>
      </c>
      <c r="W1171" s="142">
        <f>6875+6875</f>
        <v>13750</v>
      </c>
      <c r="X1171" s="142">
        <f>6250+6250</f>
        <v>12500</v>
      </c>
      <c r="Y1171" s="142">
        <f>5625+5625</f>
        <v>11250</v>
      </c>
      <c r="Z1171" s="500">
        <f>5000+5000</f>
        <v>10000</v>
      </c>
      <c r="AA1171" s="539">
        <f>4375+4375</f>
        <v>8750</v>
      </c>
      <c r="AB1171" s="21">
        <f>4000+4000</f>
        <v>8000</v>
      </c>
      <c r="AC1171" s="21">
        <f>3625+3625</f>
        <v>7250</v>
      </c>
      <c r="AD1171" s="21">
        <f>3250+3250</f>
        <v>6500</v>
      </c>
      <c r="AE1171" s="21">
        <f>2843.75+2843.75</f>
        <v>5687.5</v>
      </c>
      <c r="AF1171" s="21">
        <f>2437.5+2437.5</f>
        <v>4875</v>
      </c>
      <c r="AG1171" s="21">
        <f>2031.25+2031.25</f>
        <v>4062.5</v>
      </c>
      <c r="AH1171" s="21">
        <f>1625+1625</f>
        <v>3250</v>
      </c>
      <c r="AI1171" s="21">
        <f>1300+1300</f>
        <v>2600</v>
      </c>
      <c r="AJ1171" s="21">
        <f>975+975</f>
        <v>1950</v>
      </c>
      <c r="AK1171" s="21">
        <f>650+650</f>
        <v>1300</v>
      </c>
      <c r="AL1171" s="21">
        <f>325+325</f>
        <v>650</v>
      </c>
      <c r="AM1171" s="17" t="s">
        <v>11</v>
      </c>
      <c r="AN1171" s="17"/>
      <c r="AO1171" s="17"/>
      <c r="AP1171" s="17"/>
      <c r="AQ1171" s="17"/>
      <c r="AR1171" s="17"/>
      <c r="AS1171" s="17"/>
      <c r="AT1171" s="17"/>
    </row>
    <row r="1172" spans="1:46" s="6" customFormat="1" ht="13.8" thickBot="1" x14ac:dyDescent="0.3">
      <c r="A1172" s="409" t="s">
        <v>1115</v>
      </c>
      <c r="B1172" s="120"/>
      <c r="C1172" s="307"/>
      <c r="D1172" s="85"/>
      <c r="E1172" s="86" t="s">
        <v>40</v>
      </c>
      <c r="F1172" s="86" t="s">
        <v>405</v>
      </c>
      <c r="G1172" s="141"/>
      <c r="H1172" s="125"/>
      <c r="I1172" s="125"/>
      <c r="J1172" s="365" t="s">
        <v>6</v>
      </c>
      <c r="K1172" s="350">
        <f>K1171+K1170</f>
        <v>644770.82999999996</v>
      </c>
      <c r="L1172" s="43"/>
      <c r="M1172" s="43"/>
      <c r="N1172" s="43"/>
      <c r="O1172" s="43"/>
      <c r="P1172" s="43"/>
      <c r="Q1172" s="43"/>
      <c r="R1172" s="43"/>
      <c r="S1172" s="43">
        <f t="shared" ref="S1172:AK1172" si="913">S1171+S1170</f>
        <v>43645.83</v>
      </c>
      <c r="T1172" s="43">
        <f t="shared" si="913"/>
        <v>42500</v>
      </c>
      <c r="U1172" s="43">
        <f t="shared" si="913"/>
        <v>41250</v>
      </c>
      <c r="V1172" s="43">
        <f t="shared" si="913"/>
        <v>40000</v>
      </c>
      <c r="W1172" s="43">
        <f t="shared" si="913"/>
        <v>38750</v>
      </c>
      <c r="X1172" s="43">
        <f t="shared" si="913"/>
        <v>37500</v>
      </c>
      <c r="Y1172" s="43">
        <f t="shared" si="913"/>
        <v>36250</v>
      </c>
      <c r="Z1172" s="499">
        <f t="shared" si="913"/>
        <v>35000</v>
      </c>
      <c r="AA1172" s="538">
        <f t="shared" si="913"/>
        <v>33750</v>
      </c>
      <c r="AB1172" s="43">
        <f t="shared" si="913"/>
        <v>33000</v>
      </c>
      <c r="AC1172" s="43">
        <f t="shared" si="913"/>
        <v>32250</v>
      </c>
      <c r="AD1172" s="43">
        <f t="shared" si="913"/>
        <v>31500</v>
      </c>
      <c r="AE1172" s="43">
        <f t="shared" si="913"/>
        <v>30687.5</v>
      </c>
      <c r="AF1172" s="43">
        <f t="shared" si="913"/>
        <v>29875</v>
      </c>
      <c r="AG1172" s="43">
        <f t="shared" si="913"/>
        <v>29062.5</v>
      </c>
      <c r="AH1172" s="43">
        <f t="shared" si="913"/>
        <v>23250</v>
      </c>
      <c r="AI1172" s="43">
        <f t="shared" si="913"/>
        <v>22600</v>
      </c>
      <c r="AJ1172" s="43">
        <f t="shared" si="913"/>
        <v>21950</v>
      </c>
      <c r="AK1172" s="43">
        <f t="shared" si="913"/>
        <v>21300</v>
      </c>
      <c r="AL1172" s="43">
        <f t="shared" ref="AL1172" si="914">AL1171+AL1170</f>
        <v>20650</v>
      </c>
      <c r="AM1172" s="41" t="s">
        <v>11</v>
      </c>
      <c r="AN1172" s="41"/>
      <c r="AO1172" s="41"/>
      <c r="AP1172" s="41"/>
      <c r="AQ1172" s="41"/>
      <c r="AR1172" s="41"/>
      <c r="AS1172" s="41"/>
      <c r="AT1172" s="41"/>
    </row>
    <row r="1173" spans="1:46" s="2" customFormat="1" x14ac:dyDescent="0.25">
      <c r="A1173" s="26" t="s">
        <v>102</v>
      </c>
      <c r="B1173" s="26" t="s">
        <v>96</v>
      </c>
      <c r="C1173" s="306"/>
      <c r="D1173" s="54" t="s">
        <v>3</v>
      </c>
      <c r="E1173" s="284">
        <v>43193</v>
      </c>
      <c r="F1173" s="34" t="s">
        <v>266</v>
      </c>
      <c r="G1173" s="35" t="s">
        <v>896</v>
      </c>
      <c r="H1173" s="35">
        <v>31422278</v>
      </c>
      <c r="I1173" s="35">
        <v>585013</v>
      </c>
      <c r="J1173" s="2" t="s">
        <v>1</v>
      </c>
      <c r="K1173" s="27">
        <v>130000</v>
      </c>
      <c r="L1173" s="4"/>
      <c r="M1173" s="4"/>
      <c r="N1173" s="4"/>
      <c r="O1173" s="4"/>
      <c r="P1173" s="283"/>
      <c r="Q1173" s="283"/>
      <c r="R1173" s="283"/>
      <c r="S1173" s="283">
        <v>30000</v>
      </c>
      <c r="T1173" s="283">
        <v>25000</v>
      </c>
      <c r="U1173" s="283">
        <v>25000</v>
      </c>
      <c r="V1173" s="283">
        <v>25000</v>
      </c>
      <c r="W1173" s="283">
        <v>25000</v>
      </c>
      <c r="X1173" s="2" t="s">
        <v>11</v>
      </c>
      <c r="Z1173" s="490"/>
      <c r="AA1173" s="60"/>
    </row>
    <row r="1174" spans="1:46" s="2" customFormat="1" x14ac:dyDescent="0.25">
      <c r="A1174" s="400" t="s">
        <v>1060</v>
      </c>
      <c r="B1174" s="26"/>
      <c r="C1174" s="306"/>
      <c r="D1174" s="54"/>
      <c r="E1174" s="284" t="s">
        <v>12</v>
      </c>
      <c r="F1174" s="34"/>
      <c r="G1174" s="35" t="s">
        <v>897</v>
      </c>
      <c r="H1174" s="35" t="s">
        <v>1106</v>
      </c>
      <c r="I1174" s="35"/>
      <c r="J1174" s="17" t="s">
        <v>2</v>
      </c>
      <c r="K1174" s="379">
        <v>18963.89</v>
      </c>
      <c r="L1174" s="11"/>
      <c r="M1174" s="11"/>
      <c r="N1174" s="11"/>
      <c r="O1174" s="11"/>
      <c r="P1174" s="142"/>
      <c r="Q1174" s="142"/>
      <c r="R1174" s="142"/>
      <c r="S1174" s="142">
        <f>3213.89+3250</f>
        <v>6463.8899999999994</v>
      </c>
      <c r="T1174" s="142">
        <f>2500+2500</f>
        <v>5000</v>
      </c>
      <c r="U1174" s="142">
        <f>1875+1875</f>
        <v>3750</v>
      </c>
      <c r="V1174" s="142">
        <f>1250+1250</f>
        <v>2500</v>
      </c>
      <c r="W1174" s="142">
        <f>625+625</f>
        <v>1250</v>
      </c>
      <c r="X1174" s="17" t="s">
        <v>11</v>
      </c>
      <c r="Y1174" s="17"/>
      <c r="Z1174" s="491"/>
      <c r="AA1174" s="532"/>
      <c r="AB1174" s="17"/>
      <c r="AC1174" s="17"/>
      <c r="AD1174" s="17"/>
      <c r="AE1174" s="17"/>
      <c r="AF1174" s="17"/>
      <c r="AG1174" s="17"/>
      <c r="AH1174" s="17"/>
      <c r="AI1174" s="17"/>
      <c r="AJ1174" s="17"/>
      <c r="AK1174" s="17"/>
      <c r="AL1174" s="17"/>
      <c r="AM1174" s="17"/>
      <c r="AN1174" s="17"/>
      <c r="AO1174" s="17"/>
      <c r="AP1174" s="17"/>
      <c r="AQ1174" s="17"/>
      <c r="AR1174" s="17"/>
      <c r="AS1174" s="17"/>
      <c r="AT1174" s="17"/>
    </row>
    <row r="1175" spans="1:46" s="6" customFormat="1" ht="13.8" thickBot="1" x14ac:dyDescent="0.3">
      <c r="A1175" s="409" t="s">
        <v>1115</v>
      </c>
      <c r="B1175" s="409"/>
      <c r="C1175" s="307"/>
      <c r="D1175" s="85"/>
      <c r="E1175" s="145" t="s">
        <v>160</v>
      </c>
      <c r="F1175" s="86" t="s">
        <v>410</v>
      </c>
      <c r="G1175" s="125"/>
      <c r="H1175" s="125"/>
      <c r="I1175" s="125"/>
      <c r="J1175" s="365" t="s">
        <v>6</v>
      </c>
      <c r="K1175" s="350">
        <f>K1174+K1173</f>
        <v>148963.89000000001</v>
      </c>
      <c r="L1175" s="43"/>
      <c r="M1175" s="43"/>
      <c r="N1175" s="43"/>
      <c r="O1175" s="43"/>
      <c r="P1175" s="43"/>
      <c r="Q1175" s="43"/>
      <c r="R1175" s="43"/>
      <c r="S1175" s="43">
        <f t="shared" ref="S1175:W1175" si="915">S1174+S1173</f>
        <v>36463.89</v>
      </c>
      <c r="T1175" s="43">
        <f t="shared" si="915"/>
        <v>30000</v>
      </c>
      <c r="U1175" s="43">
        <f t="shared" si="915"/>
        <v>28750</v>
      </c>
      <c r="V1175" s="43">
        <f t="shared" si="915"/>
        <v>27500</v>
      </c>
      <c r="W1175" s="43">
        <f t="shared" si="915"/>
        <v>26250</v>
      </c>
      <c r="X1175" s="41" t="s">
        <v>11</v>
      </c>
      <c r="Y1175" s="41"/>
      <c r="Z1175" s="492"/>
      <c r="AA1175" s="533"/>
      <c r="AB1175" s="41"/>
      <c r="AC1175" s="41"/>
      <c r="AD1175" s="41"/>
      <c r="AE1175" s="41"/>
      <c r="AF1175" s="41"/>
      <c r="AG1175" s="41"/>
      <c r="AH1175" s="41"/>
      <c r="AI1175" s="41"/>
      <c r="AJ1175" s="41"/>
      <c r="AK1175" s="41"/>
      <c r="AL1175" s="41"/>
      <c r="AM1175" s="41"/>
      <c r="AN1175" s="41"/>
      <c r="AO1175" s="41"/>
      <c r="AP1175" s="41"/>
      <c r="AQ1175" s="41"/>
      <c r="AR1175" s="41"/>
      <c r="AS1175" s="41"/>
      <c r="AT1175" s="41"/>
    </row>
    <row r="1176" spans="1:46" s="2" customFormat="1" x14ac:dyDescent="0.25">
      <c r="A1176" s="26" t="s">
        <v>101</v>
      </c>
      <c r="B1176" s="26" t="s">
        <v>96</v>
      </c>
      <c r="C1176" s="306"/>
      <c r="D1176" s="54" t="s">
        <v>3</v>
      </c>
      <c r="E1176" s="284">
        <v>43193</v>
      </c>
      <c r="F1176" s="34" t="s">
        <v>266</v>
      </c>
      <c r="G1176" s="35" t="s">
        <v>898</v>
      </c>
      <c r="H1176" s="35">
        <v>31650278</v>
      </c>
      <c r="I1176" s="35">
        <v>582022</v>
      </c>
      <c r="J1176" s="2" t="s">
        <v>1</v>
      </c>
      <c r="K1176" s="27">
        <v>32000</v>
      </c>
      <c r="L1176" s="4"/>
      <c r="M1176" s="4"/>
      <c r="N1176" s="4"/>
      <c r="O1176" s="4"/>
      <c r="P1176" s="283"/>
      <c r="Q1176" s="283"/>
      <c r="R1176" s="283"/>
      <c r="S1176" s="283">
        <v>12000</v>
      </c>
      <c r="T1176" s="283">
        <v>10000</v>
      </c>
      <c r="U1176" s="283">
        <v>10000</v>
      </c>
      <c r="V1176" s="2" t="s">
        <v>11</v>
      </c>
      <c r="W1176" s="283"/>
      <c r="X1176" s="283"/>
      <c r="Z1176" s="490"/>
      <c r="AA1176" s="60"/>
    </row>
    <row r="1177" spans="1:46" s="2" customFormat="1" x14ac:dyDescent="0.25">
      <c r="A1177" s="400" t="s">
        <v>1061</v>
      </c>
      <c r="B1177" s="26"/>
      <c r="C1177" s="306"/>
      <c r="D1177" s="54"/>
      <c r="E1177" s="284" t="s">
        <v>12</v>
      </c>
      <c r="F1177" s="34"/>
      <c r="G1177" s="35" t="s">
        <v>899</v>
      </c>
      <c r="H1177" s="35" t="s">
        <v>1110</v>
      </c>
      <c r="I1177" s="35"/>
      <c r="J1177" s="17" t="s">
        <v>2</v>
      </c>
      <c r="K1177" s="379">
        <v>3091.11</v>
      </c>
      <c r="L1177" s="11"/>
      <c r="M1177" s="11"/>
      <c r="N1177" s="11"/>
      <c r="O1177" s="11"/>
      <c r="P1177" s="142"/>
      <c r="Q1177" s="142"/>
      <c r="R1177" s="142"/>
      <c r="S1177" s="142">
        <f>791.11+800</f>
        <v>1591.1100000000001</v>
      </c>
      <c r="T1177" s="142">
        <f>500+500</f>
        <v>1000</v>
      </c>
      <c r="U1177" s="142">
        <f>250+250</f>
        <v>500</v>
      </c>
      <c r="V1177" s="17" t="s">
        <v>11</v>
      </c>
      <c r="W1177" s="142"/>
      <c r="X1177" s="142"/>
      <c r="Y1177" s="17"/>
      <c r="Z1177" s="491"/>
      <c r="AA1177" s="532"/>
      <c r="AB1177" s="17"/>
      <c r="AC1177" s="17"/>
      <c r="AD1177" s="17"/>
      <c r="AE1177" s="17"/>
      <c r="AF1177" s="17"/>
      <c r="AG1177" s="17"/>
      <c r="AH1177" s="17"/>
      <c r="AI1177" s="17"/>
      <c r="AJ1177" s="17"/>
      <c r="AK1177" s="17"/>
      <c r="AL1177" s="17"/>
      <c r="AM1177" s="17"/>
      <c r="AN1177" s="17"/>
      <c r="AO1177" s="17"/>
      <c r="AP1177" s="17"/>
      <c r="AQ1177" s="17"/>
      <c r="AR1177" s="17"/>
      <c r="AS1177" s="17"/>
      <c r="AT1177" s="17"/>
    </row>
    <row r="1178" spans="1:46" s="6" customFormat="1" ht="13.8" thickBot="1" x14ac:dyDescent="0.3">
      <c r="A1178" s="409"/>
      <c r="B1178" s="120"/>
      <c r="C1178" s="307"/>
      <c r="D1178" s="85"/>
      <c r="E1178" s="145" t="s">
        <v>40</v>
      </c>
      <c r="F1178" s="86" t="s">
        <v>410</v>
      </c>
      <c r="G1178" s="125"/>
      <c r="H1178" s="125"/>
      <c r="I1178" s="125"/>
      <c r="J1178" s="365" t="s">
        <v>6</v>
      </c>
      <c r="K1178" s="350">
        <f>K1177+K1176</f>
        <v>35091.11</v>
      </c>
      <c r="L1178" s="43"/>
      <c r="M1178" s="43"/>
      <c r="N1178" s="43"/>
      <c r="O1178" s="43"/>
      <c r="P1178" s="43"/>
      <c r="Q1178" s="43"/>
      <c r="R1178" s="43"/>
      <c r="S1178" s="43">
        <f t="shared" ref="S1178:U1178" si="916">S1177+S1176</f>
        <v>13591.11</v>
      </c>
      <c r="T1178" s="43">
        <f t="shared" si="916"/>
        <v>11000</v>
      </c>
      <c r="U1178" s="43">
        <f t="shared" si="916"/>
        <v>10500</v>
      </c>
      <c r="V1178" s="41" t="s">
        <v>11</v>
      </c>
      <c r="W1178" s="43"/>
      <c r="X1178" s="43"/>
      <c r="Y1178" s="41"/>
      <c r="Z1178" s="492"/>
      <c r="AA1178" s="533"/>
      <c r="AB1178" s="41"/>
      <c r="AC1178" s="41"/>
      <c r="AD1178" s="41"/>
      <c r="AE1178" s="41"/>
      <c r="AF1178" s="41"/>
      <c r="AG1178" s="41"/>
      <c r="AH1178" s="41"/>
      <c r="AI1178" s="41"/>
      <c r="AJ1178" s="41"/>
      <c r="AK1178" s="41"/>
      <c r="AL1178" s="41"/>
      <c r="AM1178" s="41"/>
      <c r="AN1178" s="41"/>
      <c r="AO1178" s="41"/>
      <c r="AP1178" s="41"/>
      <c r="AQ1178" s="41"/>
      <c r="AR1178" s="41"/>
      <c r="AS1178" s="41"/>
      <c r="AT1178" s="41"/>
    </row>
    <row r="1179" spans="1:46" s="2" customFormat="1" x14ac:dyDescent="0.25">
      <c r="A1179" s="26" t="s">
        <v>99</v>
      </c>
      <c r="B1179" s="26" t="s">
        <v>96</v>
      </c>
      <c r="C1179" s="306"/>
      <c r="D1179" s="54" t="s">
        <v>3</v>
      </c>
      <c r="E1179" s="34">
        <v>43193</v>
      </c>
      <c r="F1179" s="34" t="s">
        <v>258</v>
      </c>
      <c r="G1179" s="35" t="s">
        <v>758</v>
      </c>
      <c r="H1179" s="35">
        <v>31122267</v>
      </c>
      <c r="I1179" s="35">
        <v>582009</v>
      </c>
      <c r="J1179" s="2" t="s">
        <v>1</v>
      </c>
      <c r="K1179" s="27">
        <v>250000</v>
      </c>
      <c r="L1179" s="4"/>
      <c r="M1179" s="4"/>
      <c r="N1179" s="4"/>
      <c r="O1179" s="4"/>
      <c r="P1179" s="283"/>
      <c r="Q1179" s="283"/>
      <c r="R1179" s="283"/>
      <c r="S1179" s="283">
        <v>65000</v>
      </c>
      <c r="T1179" s="283">
        <v>65000</v>
      </c>
      <c r="U1179" s="283">
        <v>60000</v>
      </c>
      <c r="V1179" s="283">
        <v>60000</v>
      </c>
      <c r="W1179" s="2" t="s">
        <v>11</v>
      </c>
      <c r="X1179" s="283"/>
      <c r="Y1179" s="283"/>
      <c r="Z1179" s="497"/>
      <c r="AA1179" s="536"/>
    </row>
    <row r="1180" spans="1:46" s="2" customFormat="1" x14ac:dyDescent="0.25">
      <c r="A1180" s="400" t="s">
        <v>1062</v>
      </c>
      <c r="B1180" s="26"/>
      <c r="C1180" s="306"/>
      <c r="D1180" s="54"/>
      <c r="E1180" s="34" t="s">
        <v>12</v>
      </c>
      <c r="F1180" s="34"/>
      <c r="G1180" s="35" t="s">
        <v>850</v>
      </c>
      <c r="H1180" s="35" t="s">
        <v>1111</v>
      </c>
      <c r="I1180" s="35"/>
      <c r="J1180" s="17" t="s">
        <v>2</v>
      </c>
      <c r="K1180" s="379">
        <v>30680.560000000001</v>
      </c>
      <c r="L1180" s="11"/>
      <c r="M1180" s="11"/>
      <c r="N1180" s="11"/>
      <c r="O1180" s="11"/>
      <c r="P1180" s="142"/>
      <c r="Q1180" s="142"/>
      <c r="R1180" s="142"/>
      <c r="S1180" s="142">
        <f>6180.56+6250</f>
        <v>12430.560000000001</v>
      </c>
      <c r="T1180" s="142">
        <f>4625+4625</f>
        <v>9250</v>
      </c>
      <c r="U1180" s="142">
        <f>3000+3000</f>
        <v>6000</v>
      </c>
      <c r="V1180" s="142">
        <f>1500+1500</f>
        <v>3000</v>
      </c>
      <c r="W1180" s="17" t="s">
        <v>11</v>
      </c>
      <c r="X1180" s="142"/>
      <c r="Y1180" s="142"/>
      <c r="Z1180" s="500"/>
      <c r="AA1180" s="539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</row>
    <row r="1181" spans="1:46" s="6" customFormat="1" ht="13.8" thickBot="1" x14ac:dyDescent="0.3">
      <c r="A1181" s="409" t="s">
        <v>1115</v>
      </c>
      <c r="B1181" s="120"/>
      <c r="C1181" s="307"/>
      <c r="D1181" s="85"/>
      <c r="E1181" s="86" t="s">
        <v>15</v>
      </c>
      <c r="F1181" s="86" t="s">
        <v>410</v>
      </c>
      <c r="G1181" s="125"/>
      <c r="H1181" s="125"/>
      <c r="I1181" s="125"/>
      <c r="J1181" s="365" t="s">
        <v>6</v>
      </c>
      <c r="K1181" s="350">
        <f>K1180+K1179</f>
        <v>280680.56</v>
      </c>
      <c r="L1181" s="43"/>
      <c r="M1181" s="43"/>
      <c r="N1181" s="43"/>
      <c r="O1181" s="43"/>
      <c r="P1181" s="43"/>
      <c r="Q1181" s="43"/>
      <c r="R1181" s="43"/>
      <c r="S1181" s="43">
        <f t="shared" ref="S1181:V1181" si="917">S1180+S1179</f>
        <v>77430.559999999998</v>
      </c>
      <c r="T1181" s="43">
        <f t="shared" si="917"/>
        <v>74250</v>
      </c>
      <c r="U1181" s="43">
        <f t="shared" si="917"/>
        <v>66000</v>
      </c>
      <c r="V1181" s="43">
        <f t="shared" si="917"/>
        <v>63000</v>
      </c>
      <c r="W1181" s="41" t="s">
        <v>11</v>
      </c>
      <c r="X1181" s="43"/>
      <c r="Y1181" s="43"/>
      <c r="Z1181" s="499"/>
      <c r="AA1181" s="538"/>
      <c r="AB1181" s="41"/>
      <c r="AC1181" s="41"/>
      <c r="AD1181" s="41"/>
      <c r="AE1181" s="41"/>
      <c r="AF1181" s="41"/>
      <c r="AG1181" s="41"/>
      <c r="AH1181" s="41"/>
      <c r="AI1181" s="41"/>
      <c r="AJ1181" s="41"/>
      <c r="AK1181" s="41"/>
      <c r="AL1181" s="41"/>
      <c r="AM1181" s="41"/>
      <c r="AN1181" s="41"/>
      <c r="AO1181" s="41"/>
      <c r="AP1181" s="41"/>
      <c r="AQ1181" s="41"/>
      <c r="AR1181" s="41"/>
      <c r="AS1181" s="41"/>
      <c r="AT1181" s="41"/>
    </row>
    <row r="1182" spans="1:46" s="3" customFormat="1" x14ac:dyDescent="0.25">
      <c r="A1182" s="121"/>
      <c r="B1182" s="121"/>
      <c r="C1182" s="306"/>
      <c r="D1182" s="54"/>
      <c r="E1182" s="54"/>
      <c r="F1182" s="54"/>
      <c r="G1182" s="36" t="s">
        <v>32</v>
      </c>
      <c r="H1182" s="152">
        <v>1774319</v>
      </c>
      <c r="I1182" s="36">
        <v>591100</v>
      </c>
      <c r="J1182" s="33" t="s">
        <v>1</v>
      </c>
      <c r="K1182" s="37">
        <f>K1179+K1176+K1173+K1170+K1167+K1164+K1161+K1158+K1155+K1152+K1149+K1146+K1143+K1140</f>
        <v>3590000</v>
      </c>
      <c r="L1182" s="7"/>
      <c r="M1182" s="7"/>
      <c r="N1182" s="67"/>
      <c r="O1182" s="67"/>
      <c r="P1182" s="67"/>
      <c r="Q1182" s="67"/>
      <c r="R1182" s="67"/>
      <c r="S1182" s="67">
        <f>S1179+S1176+S1173+S1170+S1167+S1164+S1161+S1158+S1155+S1152+S1149+S1146+S1143+S1140</f>
        <v>425000</v>
      </c>
      <c r="T1182" s="67">
        <f>T1179+T1176+T1173+T1170+T1167+T1164+T1161+T1158+T1155+T1152+T1149+T1146+T1143+T1140</f>
        <v>410000</v>
      </c>
      <c r="U1182" s="67">
        <f t="shared" ref="U1182" si="918">U1179+U1176+U1173+U1170+U1167+U1164+U1161+U1158+U1155+U1152+U1149+U1146+U1143+U1140</f>
        <v>405000</v>
      </c>
      <c r="V1182" s="67">
        <f>V1179+V1173+V1170+V1167+V1164+V1161+V1158+V1155+V1152+V1149+V1146+V1143+V1140</f>
        <v>390000</v>
      </c>
      <c r="W1182" s="67">
        <f>W1173+W1170+W1167+W1164+W1161+W1158+W1155+W1152+W1149+W1146+W1143+W1140</f>
        <v>320000</v>
      </c>
      <c r="X1182" s="67">
        <f>X1170+X1167+X1164+X1155+X1152+X1143</f>
        <v>165000</v>
      </c>
      <c r="Y1182" s="67">
        <f t="shared" ref="Y1182:AA1182" si="919">Y1170+Y1167+Y1164+Y1155+Y1152+Y1143</f>
        <v>165000</v>
      </c>
      <c r="Z1182" s="507">
        <f t="shared" si="919"/>
        <v>165000</v>
      </c>
      <c r="AA1182" s="546">
        <f t="shared" si="919"/>
        <v>165000</v>
      </c>
      <c r="AB1182" s="67">
        <f t="shared" ref="AB1182" si="920">AB1170+AB1167+AB1164+AB1155+AB1152+AB1143</f>
        <v>165000</v>
      </c>
      <c r="AC1182" s="67">
        <f>AC1170+AC1167+AC1164+AC1152+AC1143</f>
        <v>120000</v>
      </c>
      <c r="AD1182" s="67">
        <f t="shared" ref="AD1182:AF1182" si="921">AD1170+AD1167+AD1164+AD1152+AD1143</f>
        <v>120000</v>
      </c>
      <c r="AE1182" s="67">
        <f t="shared" si="921"/>
        <v>120000</v>
      </c>
      <c r="AF1182" s="67">
        <f t="shared" si="921"/>
        <v>120000</v>
      </c>
      <c r="AG1182" s="67">
        <f>AG1170+AG1167+AG1164+AG1152</f>
        <v>110000</v>
      </c>
      <c r="AH1182" s="67">
        <f>AH1170+AH1167</f>
        <v>45000</v>
      </c>
      <c r="AI1182" s="67">
        <f t="shared" ref="AI1182:AL1182" si="922">AI1170+AI1167</f>
        <v>45000</v>
      </c>
      <c r="AJ1182" s="67">
        <f t="shared" si="922"/>
        <v>45000</v>
      </c>
      <c r="AK1182" s="67">
        <f t="shared" si="922"/>
        <v>45000</v>
      </c>
      <c r="AL1182" s="67">
        <f t="shared" si="922"/>
        <v>45000</v>
      </c>
      <c r="AM1182" s="3" t="s">
        <v>11</v>
      </c>
    </row>
    <row r="1183" spans="1:46" s="3" customFormat="1" x14ac:dyDescent="0.25">
      <c r="A1183" s="121"/>
      <c r="B1183" s="121"/>
      <c r="C1183" s="306"/>
      <c r="D1183" s="54"/>
      <c r="E1183" s="54"/>
      <c r="F1183" s="54"/>
      <c r="G1183" s="33"/>
      <c r="H1183" s="152">
        <v>1774319</v>
      </c>
      <c r="I1183" s="33">
        <v>595100</v>
      </c>
      <c r="J1183" s="38" t="s">
        <v>2</v>
      </c>
      <c r="K1183" s="37">
        <f>K1180+K1177+K1174+K1171+K1168+K1165+K1162+K1159+K1156+K1153+K1150+K1147+K1144+K1141</f>
        <v>924370.36</v>
      </c>
      <c r="L1183" s="16"/>
      <c r="M1183" s="16"/>
      <c r="N1183" s="7"/>
      <c r="O1183" s="7"/>
      <c r="P1183" s="7"/>
      <c r="Q1183" s="7"/>
      <c r="R1183" s="7"/>
      <c r="S1183" s="7">
        <f>S1180+S1177+S1174+S1171+S1168+S1165+S1162+S1159+S1156+S1153+S1150+S1147+S1144+S1141</f>
        <v>157457.86000000002</v>
      </c>
      <c r="T1183" s="7">
        <f>T1180+T1177+T1174+T1171+T1168+T1165+T1162+T1159+T1156+T1153+T1150+T1147+T1144+T1141</f>
        <v>137087.5</v>
      </c>
      <c r="U1183" s="7">
        <f t="shared" ref="U1183" si="923">U1180+U1177+U1174+U1171+U1168+U1165+U1162+U1159+U1156+U1153+U1150+U1147+U1144+U1141</f>
        <v>116587.5</v>
      </c>
      <c r="V1183" s="7">
        <f>V1180+V1174+V1171+V1168+V1165+V1162+V1159+V1156+V1153+V1150+V1147+V1144+V1141</f>
        <v>96337.5</v>
      </c>
      <c r="W1183" s="7">
        <f>W1174+W1171+W1168+W1165+W1162+W1159+W1156+W1153+W1150+W1147+W1144+W1141</f>
        <v>76837.5</v>
      </c>
      <c r="X1183" s="7">
        <f>X1171+X1168+X1165+X1156+X1153+X1144</f>
        <v>60837.5</v>
      </c>
      <c r="Y1183" s="7">
        <f t="shared" ref="Y1183:AA1183" si="924">Y1171+Y1168+Y1165+Y1156+Y1153+Y1144</f>
        <v>52587.5</v>
      </c>
      <c r="Z1183" s="501">
        <f t="shared" si="924"/>
        <v>44337.5</v>
      </c>
      <c r="AA1183" s="540">
        <f t="shared" si="924"/>
        <v>36087.5</v>
      </c>
      <c r="AB1183" s="7">
        <f t="shared" ref="AB1183" si="925">AB1171+AB1168+AB1165+AB1156+AB1153+AB1144</f>
        <v>31137.5</v>
      </c>
      <c r="AC1183" s="7">
        <f>AC1171+AC1168+AC1165+AC1153+AC1144</f>
        <v>26187.5</v>
      </c>
      <c r="AD1183" s="7">
        <f t="shared" ref="AD1183:AF1183" si="926">AD1171+AD1168+AD1165+AD1153+AD1144</f>
        <v>22587.5</v>
      </c>
      <c r="AE1183" s="7">
        <f t="shared" si="926"/>
        <v>18687.5</v>
      </c>
      <c r="AF1183" s="7">
        <f t="shared" si="926"/>
        <v>14787.5</v>
      </c>
      <c r="AG1183" s="7">
        <f>AG1171+AG1168+AG1165+AG1153</f>
        <v>10887.5</v>
      </c>
      <c r="AH1183" s="7">
        <f>AH1171+AH1168</f>
        <v>7312.5</v>
      </c>
      <c r="AI1183" s="7">
        <f t="shared" ref="AI1183:AL1183" si="927">AI1171+AI1168</f>
        <v>5850</v>
      </c>
      <c r="AJ1183" s="7">
        <f t="shared" si="927"/>
        <v>4387.5</v>
      </c>
      <c r="AK1183" s="7">
        <f t="shared" si="927"/>
        <v>2925</v>
      </c>
      <c r="AL1183" s="7">
        <f t="shared" si="927"/>
        <v>1462.5</v>
      </c>
      <c r="AM1183" s="20" t="s">
        <v>11</v>
      </c>
      <c r="AN1183" s="20"/>
      <c r="AO1183" s="20"/>
      <c r="AP1183" s="20"/>
      <c r="AQ1183" s="20"/>
      <c r="AR1183" s="20"/>
      <c r="AS1183" s="20"/>
      <c r="AT1183" s="20"/>
    </row>
    <row r="1184" spans="1:46" s="8" customFormat="1" ht="13.8" thickBot="1" x14ac:dyDescent="0.3">
      <c r="A1184" s="122"/>
      <c r="B1184" s="122"/>
      <c r="C1184" s="307"/>
      <c r="D1184" s="85"/>
      <c r="E1184" s="85"/>
      <c r="F1184" s="85"/>
      <c r="G1184" s="85"/>
      <c r="H1184" s="85"/>
      <c r="I1184" s="85"/>
      <c r="J1184" s="44" t="s">
        <v>5</v>
      </c>
      <c r="K1184" s="45">
        <f>K1183+K1182</f>
        <v>4514370.3600000003</v>
      </c>
      <c r="L1184" s="46"/>
      <c r="M1184" s="46"/>
      <c r="N1184" s="46"/>
      <c r="O1184" s="46"/>
      <c r="P1184" s="46"/>
      <c r="Q1184" s="46"/>
      <c r="R1184" s="46"/>
      <c r="S1184" s="46">
        <f t="shared" ref="S1184:AF1184" si="928">S1183+S1182</f>
        <v>582457.86</v>
      </c>
      <c r="T1184" s="46">
        <f t="shared" si="928"/>
        <v>547087.5</v>
      </c>
      <c r="U1184" s="46">
        <f t="shared" si="928"/>
        <v>521587.5</v>
      </c>
      <c r="V1184" s="46">
        <f t="shared" si="928"/>
        <v>486337.5</v>
      </c>
      <c r="W1184" s="46">
        <f t="shared" si="928"/>
        <v>396837.5</v>
      </c>
      <c r="X1184" s="46">
        <f t="shared" si="928"/>
        <v>225837.5</v>
      </c>
      <c r="Y1184" s="46">
        <f t="shared" si="928"/>
        <v>217587.5</v>
      </c>
      <c r="Z1184" s="503">
        <f t="shared" si="928"/>
        <v>209337.5</v>
      </c>
      <c r="AA1184" s="542">
        <f t="shared" si="928"/>
        <v>201087.5</v>
      </c>
      <c r="AB1184" s="46">
        <f t="shared" si="928"/>
        <v>196137.5</v>
      </c>
      <c r="AC1184" s="46">
        <f t="shared" si="928"/>
        <v>146187.5</v>
      </c>
      <c r="AD1184" s="46">
        <f t="shared" si="928"/>
        <v>142587.5</v>
      </c>
      <c r="AE1184" s="46">
        <f t="shared" si="928"/>
        <v>138687.5</v>
      </c>
      <c r="AF1184" s="46">
        <f t="shared" si="928"/>
        <v>134787.5</v>
      </c>
      <c r="AG1184" s="46">
        <f t="shared" ref="AG1184:AL1184" si="929">AG1183+AG1182</f>
        <v>120887.5</v>
      </c>
      <c r="AH1184" s="46">
        <f t="shared" si="929"/>
        <v>52312.5</v>
      </c>
      <c r="AI1184" s="46">
        <f t="shared" si="929"/>
        <v>50850</v>
      </c>
      <c r="AJ1184" s="46">
        <f t="shared" si="929"/>
        <v>49387.5</v>
      </c>
      <c r="AK1184" s="46">
        <f t="shared" si="929"/>
        <v>47925</v>
      </c>
      <c r="AL1184" s="46">
        <f t="shared" si="929"/>
        <v>46462.5</v>
      </c>
      <c r="AM1184" s="47" t="s">
        <v>11</v>
      </c>
      <c r="AN1184" s="47"/>
      <c r="AO1184" s="47"/>
      <c r="AP1184" s="47"/>
      <c r="AQ1184" s="47"/>
      <c r="AR1184" s="47"/>
      <c r="AS1184" s="47"/>
      <c r="AT1184" s="47"/>
    </row>
    <row r="1185" spans="1:46" s="6" customFormat="1" x14ac:dyDescent="0.25">
      <c r="A1185" s="26" t="s">
        <v>0</v>
      </c>
      <c r="B1185" s="26" t="s">
        <v>96</v>
      </c>
      <c r="C1185" s="306"/>
      <c r="D1185" s="332" t="s">
        <v>0</v>
      </c>
      <c r="E1185" s="24">
        <v>43193</v>
      </c>
      <c r="F1185" s="24" t="s">
        <v>266</v>
      </c>
      <c r="G1185" s="315" t="s">
        <v>113</v>
      </c>
      <c r="H1185" s="315">
        <v>60310278</v>
      </c>
      <c r="I1185" s="315">
        <v>584009</v>
      </c>
      <c r="J1185" s="2" t="s">
        <v>1</v>
      </c>
      <c r="K1185" s="27">
        <v>850000</v>
      </c>
      <c r="L1185" s="4"/>
      <c r="M1185" s="4"/>
      <c r="N1185" s="4"/>
      <c r="O1185" s="4"/>
      <c r="P1185" s="283"/>
      <c r="Q1185" s="283"/>
      <c r="R1185" s="283"/>
      <c r="S1185" s="283">
        <v>45000</v>
      </c>
      <c r="T1185" s="283">
        <v>45000</v>
      </c>
      <c r="U1185" s="283">
        <v>45000</v>
      </c>
      <c r="V1185" s="283">
        <v>45000</v>
      </c>
      <c r="W1185" s="283">
        <v>45000</v>
      </c>
      <c r="X1185" s="283">
        <v>45000</v>
      </c>
      <c r="Y1185" s="283">
        <v>45000</v>
      </c>
      <c r="Z1185" s="497">
        <v>45000</v>
      </c>
      <c r="AA1185" s="536">
        <v>45000</v>
      </c>
      <c r="AB1185" s="283">
        <v>45000</v>
      </c>
      <c r="AC1185" s="283">
        <v>40000</v>
      </c>
      <c r="AD1185" s="283">
        <v>40000</v>
      </c>
      <c r="AE1185" s="283">
        <v>40000</v>
      </c>
      <c r="AF1185" s="283">
        <v>40000</v>
      </c>
      <c r="AG1185" s="283">
        <v>40000</v>
      </c>
      <c r="AH1185" s="283">
        <v>40000</v>
      </c>
      <c r="AI1185" s="283">
        <v>40000</v>
      </c>
      <c r="AJ1185" s="283">
        <v>40000</v>
      </c>
      <c r="AK1185" s="283">
        <v>40000</v>
      </c>
      <c r="AL1185" s="283">
        <v>40000</v>
      </c>
      <c r="AM1185" s="2" t="s">
        <v>11</v>
      </c>
      <c r="AN1185" s="2"/>
      <c r="AO1185" s="2"/>
      <c r="AP1185" s="2"/>
      <c r="AQ1185" s="2"/>
      <c r="AR1185" s="2"/>
      <c r="AS1185" s="2"/>
      <c r="AT1185" s="2"/>
    </row>
    <row r="1186" spans="1:46" s="6" customFormat="1" x14ac:dyDescent="0.25">
      <c r="A1186" s="400" t="s">
        <v>1063</v>
      </c>
      <c r="B1186" s="26"/>
      <c r="C1186" s="306"/>
      <c r="D1186" s="352"/>
      <c r="E1186" s="24" t="s">
        <v>12</v>
      </c>
      <c r="F1186" s="331"/>
      <c r="G1186" s="15" t="s">
        <v>901</v>
      </c>
      <c r="H1186" s="148" t="s">
        <v>1108</v>
      </c>
      <c r="I1186" s="15"/>
      <c r="J1186" s="17" t="s">
        <v>2</v>
      </c>
      <c r="K1186" s="379">
        <v>306863.33</v>
      </c>
      <c r="L1186" s="11"/>
      <c r="M1186" s="11"/>
      <c r="N1186" s="11"/>
      <c r="O1186" s="11"/>
      <c r="P1186" s="142"/>
      <c r="Q1186" s="142"/>
      <c r="R1186" s="142"/>
      <c r="S1186" s="142">
        <f>16613.33+16800</f>
        <v>33413.33</v>
      </c>
      <c r="T1186" s="142">
        <f>15675+15675</f>
        <v>31350</v>
      </c>
      <c r="U1186" s="142">
        <f>14550+14550</f>
        <v>29100</v>
      </c>
      <c r="V1186" s="142">
        <f>13425+13425</f>
        <v>26850</v>
      </c>
      <c r="W1186" s="142">
        <f>12300+12300</f>
        <v>24600</v>
      </c>
      <c r="X1186" s="142">
        <f>11175+11175</f>
        <v>22350</v>
      </c>
      <c r="Y1186" s="142">
        <f>10050+10050</f>
        <v>20100</v>
      </c>
      <c r="Z1186" s="500">
        <f>8925+8925</f>
        <v>17850</v>
      </c>
      <c r="AA1186" s="539">
        <f>7800+7800</f>
        <v>15600</v>
      </c>
      <c r="AB1186" s="142">
        <f>7125+7125</f>
        <v>14250</v>
      </c>
      <c r="AC1186" s="142">
        <f>6450+6450</f>
        <v>12900</v>
      </c>
      <c r="AD1186" s="142">
        <f>5850+5850</f>
        <v>11700</v>
      </c>
      <c r="AE1186" s="142">
        <f>5200+5200</f>
        <v>10400</v>
      </c>
      <c r="AF1186" s="142">
        <f>4550+4550</f>
        <v>9100</v>
      </c>
      <c r="AG1186" s="142">
        <f>3900+3900</f>
        <v>7800</v>
      </c>
      <c r="AH1186" s="142">
        <f>3250+3250</f>
        <v>6500</v>
      </c>
      <c r="AI1186" s="142">
        <f>2600+2600</f>
        <v>5200</v>
      </c>
      <c r="AJ1186" s="142">
        <f>1950+1950</f>
        <v>3900</v>
      </c>
      <c r="AK1186" s="142">
        <f>1300+1300</f>
        <v>2600</v>
      </c>
      <c r="AL1186" s="142">
        <f>650+650</f>
        <v>1300</v>
      </c>
      <c r="AM1186" s="17" t="s">
        <v>11</v>
      </c>
      <c r="AN1186" s="17"/>
      <c r="AO1186" s="17"/>
      <c r="AP1186" s="17"/>
      <c r="AQ1186" s="17"/>
      <c r="AR1186" s="17"/>
      <c r="AS1186" s="17"/>
      <c r="AT1186" s="17"/>
    </row>
    <row r="1187" spans="1:46" s="6" customFormat="1" ht="13.8" thickBot="1" x14ac:dyDescent="0.3">
      <c r="A1187" s="409" t="s">
        <v>1115</v>
      </c>
      <c r="B1187" s="120"/>
      <c r="C1187" s="307"/>
      <c r="D1187" s="353"/>
      <c r="E1187" s="88" t="s">
        <v>14</v>
      </c>
      <c r="F1187" s="88" t="s">
        <v>406</v>
      </c>
      <c r="G1187" s="140"/>
      <c r="H1187" s="143"/>
      <c r="I1187" s="143"/>
      <c r="J1187" s="349" t="s">
        <v>5</v>
      </c>
      <c r="K1187" s="350">
        <f>K1186+K1185</f>
        <v>1156863.33</v>
      </c>
      <c r="L1187" s="43"/>
      <c r="M1187" s="43"/>
      <c r="N1187" s="43"/>
      <c r="O1187" s="43"/>
      <c r="P1187" s="43"/>
      <c r="Q1187" s="43"/>
      <c r="R1187" s="43"/>
      <c r="S1187" s="43">
        <f t="shared" ref="S1187:AF1187" si="930">S1186+S1185</f>
        <v>78413.33</v>
      </c>
      <c r="T1187" s="43">
        <f t="shared" si="930"/>
        <v>76350</v>
      </c>
      <c r="U1187" s="43">
        <f t="shared" si="930"/>
        <v>74100</v>
      </c>
      <c r="V1187" s="43">
        <f t="shared" si="930"/>
        <v>71850</v>
      </c>
      <c r="W1187" s="43">
        <f t="shared" si="930"/>
        <v>69600</v>
      </c>
      <c r="X1187" s="43">
        <f t="shared" si="930"/>
        <v>67350</v>
      </c>
      <c r="Y1187" s="43">
        <f t="shared" si="930"/>
        <v>65100</v>
      </c>
      <c r="Z1187" s="499">
        <f t="shared" si="930"/>
        <v>62850</v>
      </c>
      <c r="AA1187" s="538">
        <f t="shared" si="930"/>
        <v>60600</v>
      </c>
      <c r="AB1187" s="43">
        <f t="shared" si="930"/>
        <v>59250</v>
      </c>
      <c r="AC1187" s="43">
        <f t="shared" si="930"/>
        <v>52900</v>
      </c>
      <c r="AD1187" s="43">
        <f t="shared" si="930"/>
        <v>51700</v>
      </c>
      <c r="AE1187" s="43">
        <f t="shared" si="930"/>
        <v>50400</v>
      </c>
      <c r="AF1187" s="43">
        <f t="shared" si="930"/>
        <v>49100</v>
      </c>
      <c r="AG1187" s="43">
        <f t="shared" ref="AG1187:AL1187" si="931">AG1186+AG1185</f>
        <v>47800</v>
      </c>
      <c r="AH1187" s="43">
        <f t="shared" si="931"/>
        <v>46500</v>
      </c>
      <c r="AI1187" s="43">
        <f t="shared" si="931"/>
        <v>45200</v>
      </c>
      <c r="AJ1187" s="43">
        <f t="shared" si="931"/>
        <v>43900</v>
      </c>
      <c r="AK1187" s="43">
        <f t="shared" si="931"/>
        <v>42600</v>
      </c>
      <c r="AL1187" s="43">
        <f t="shared" si="931"/>
        <v>41300</v>
      </c>
      <c r="AM1187" s="41" t="s">
        <v>11</v>
      </c>
      <c r="AN1187" s="41"/>
      <c r="AO1187" s="41"/>
      <c r="AP1187" s="41"/>
      <c r="AQ1187" s="41"/>
      <c r="AR1187" s="41"/>
      <c r="AS1187" s="41"/>
      <c r="AT1187" s="41"/>
    </row>
    <row r="1188" spans="1:46" s="8" customFormat="1" x14ac:dyDescent="0.25">
      <c r="A1188" s="121"/>
      <c r="B1188" s="121"/>
      <c r="C1188" s="306"/>
      <c r="D1188" s="332"/>
      <c r="E1188" s="332"/>
      <c r="F1188" s="332"/>
      <c r="G1188" s="13" t="s">
        <v>33</v>
      </c>
      <c r="H1188" s="13">
        <v>60774319</v>
      </c>
      <c r="I1188" s="13">
        <v>591100</v>
      </c>
      <c r="J1188" s="14" t="s">
        <v>1</v>
      </c>
      <c r="K1188" s="29">
        <f>K1185</f>
        <v>850000</v>
      </c>
      <c r="L1188" s="7"/>
      <c r="M1188" s="7"/>
      <c r="N1188" s="67"/>
      <c r="O1188" s="67"/>
      <c r="P1188" s="67"/>
      <c r="Q1188" s="67"/>
      <c r="R1188" s="67"/>
      <c r="S1188" s="67">
        <f t="shared" ref="S1188:AF1189" si="932">S1185</f>
        <v>45000</v>
      </c>
      <c r="T1188" s="67">
        <f t="shared" si="932"/>
        <v>45000</v>
      </c>
      <c r="U1188" s="67">
        <f t="shared" si="932"/>
        <v>45000</v>
      </c>
      <c r="V1188" s="67">
        <f t="shared" si="932"/>
        <v>45000</v>
      </c>
      <c r="W1188" s="67">
        <f t="shared" si="932"/>
        <v>45000</v>
      </c>
      <c r="X1188" s="67">
        <f t="shared" si="932"/>
        <v>45000</v>
      </c>
      <c r="Y1188" s="67">
        <f t="shared" si="932"/>
        <v>45000</v>
      </c>
      <c r="Z1188" s="507">
        <f t="shared" si="932"/>
        <v>45000</v>
      </c>
      <c r="AA1188" s="546">
        <f t="shared" si="932"/>
        <v>45000</v>
      </c>
      <c r="AB1188" s="67">
        <f t="shared" si="932"/>
        <v>45000</v>
      </c>
      <c r="AC1188" s="67">
        <f t="shared" si="932"/>
        <v>40000</v>
      </c>
      <c r="AD1188" s="67">
        <f t="shared" si="932"/>
        <v>40000</v>
      </c>
      <c r="AE1188" s="67">
        <f t="shared" si="932"/>
        <v>40000</v>
      </c>
      <c r="AF1188" s="67">
        <f t="shared" si="932"/>
        <v>40000</v>
      </c>
      <c r="AG1188" s="67">
        <f t="shared" ref="AG1188:AL1188" si="933">AG1185</f>
        <v>40000</v>
      </c>
      <c r="AH1188" s="67">
        <f t="shared" si="933"/>
        <v>40000</v>
      </c>
      <c r="AI1188" s="67">
        <f t="shared" si="933"/>
        <v>40000</v>
      </c>
      <c r="AJ1188" s="67">
        <f t="shared" si="933"/>
        <v>40000</v>
      </c>
      <c r="AK1188" s="67">
        <f t="shared" si="933"/>
        <v>40000</v>
      </c>
      <c r="AL1188" s="67">
        <f t="shared" si="933"/>
        <v>40000</v>
      </c>
      <c r="AM1188" s="3" t="s">
        <v>11</v>
      </c>
      <c r="AN1188" s="3"/>
      <c r="AO1188" s="3"/>
      <c r="AP1188" s="3"/>
      <c r="AQ1188" s="3"/>
      <c r="AR1188" s="3"/>
      <c r="AS1188" s="3"/>
      <c r="AT1188" s="3"/>
    </row>
    <row r="1189" spans="1:46" s="8" customFormat="1" x14ac:dyDescent="0.25">
      <c r="A1189" s="121"/>
      <c r="B1189" s="121"/>
      <c r="C1189" s="306"/>
      <c r="D1189" s="14"/>
      <c r="E1189" s="14"/>
      <c r="F1189" s="14"/>
      <c r="G1189" s="14"/>
      <c r="H1189" s="13">
        <v>60774319</v>
      </c>
      <c r="I1189" s="14">
        <v>595100</v>
      </c>
      <c r="J1189" s="18" t="s">
        <v>2</v>
      </c>
      <c r="K1189" s="30">
        <f>K1186</f>
        <v>306863.33</v>
      </c>
      <c r="L1189" s="16"/>
      <c r="M1189" s="16"/>
      <c r="N1189" s="16"/>
      <c r="O1189" s="16"/>
      <c r="P1189" s="16"/>
      <c r="Q1189" s="16"/>
      <c r="R1189" s="16"/>
      <c r="S1189" s="16">
        <f t="shared" ref="S1189:AD1189" si="934">S1186</f>
        <v>33413.33</v>
      </c>
      <c r="T1189" s="16">
        <f t="shared" si="934"/>
        <v>31350</v>
      </c>
      <c r="U1189" s="16">
        <f t="shared" si="934"/>
        <v>29100</v>
      </c>
      <c r="V1189" s="16">
        <f t="shared" si="934"/>
        <v>26850</v>
      </c>
      <c r="W1189" s="16">
        <f t="shared" si="934"/>
        <v>24600</v>
      </c>
      <c r="X1189" s="16">
        <f t="shared" si="934"/>
        <v>22350</v>
      </c>
      <c r="Y1189" s="16">
        <f t="shared" si="934"/>
        <v>20100</v>
      </c>
      <c r="Z1189" s="502">
        <f t="shared" si="934"/>
        <v>17850</v>
      </c>
      <c r="AA1189" s="541">
        <f t="shared" si="934"/>
        <v>15600</v>
      </c>
      <c r="AB1189" s="16">
        <f t="shared" si="934"/>
        <v>14250</v>
      </c>
      <c r="AC1189" s="16">
        <f t="shared" si="934"/>
        <v>12900</v>
      </c>
      <c r="AD1189" s="16">
        <f t="shared" si="934"/>
        <v>11700</v>
      </c>
      <c r="AE1189" s="16">
        <f t="shared" si="932"/>
        <v>10400</v>
      </c>
      <c r="AF1189" s="16">
        <f t="shared" si="932"/>
        <v>9100</v>
      </c>
      <c r="AG1189" s="16">
        <f t="shared" ref="AG1189:AL1189" si="935">AG1186</f>
        <v>7800</v>
      </c>
      <c r="AH1189" s="16">
        <f t="shared" si="935"/>
        <v>6500</v>
      </c>
      <c r="AI1189" s="16">
        <f t="shared" si="935"/>
        <v>5200</v>
      </c>
      <c r="AJ1189" s="16">
        <f t="shared" si="935"/>
        <v>3900</v>
      </c>
      <c r="AK1189" s="16">
        <f t="shared" si="935"/>
        <v>2600</v>
      </c>
      <c r="AL1189" s="16">
        <f t="shared" si="935"/>
        <v>1300</v>
      </c>
      <c r="AM1189" s="20" t="s">
        <v>11</v>
      </c>
      <c r="AN1189" s="20"/>
      <c r="AO1189" s="20"/>
      <c r="AP1189" s="20"/>
      <c r="AQ1189" s="20"/>
      <c r="AR1189" s="20"/>
      <c r="AS1189" s="20"/>
      <c r="AT1189" s="20"/>
    </row>
    <row r="1190" spans="1:46" s="8" customFormat="1" ht="13.8" thickBot="1" x14ac:dyDescent="0.3">
      <c r="A1190" s="122"/>
      <c r="B1190" s="122"/>
      <c r="C1190" s="307"/>
      <c r="D1190" s="87"/>
      <c r="E1190" s="87"/>
      <c r="F1190" s="87"/>
      <c r="G1190" s="87"/>
      <c r="H1190" s="87"/>
      <c r="I1190" s="87"/>
      <c r="J1190" s="50" t="s">
        <v>5</v>
      </c>
      <c r="K1190" s="51">
        <f>K1189+K1188</f>
        <v>1156863.33</v>
      </c>
      <c r="L1190" s="46"/>
      <c r="M1190" s="46"/>
      <c r="N1190" s="46"/>
      <c r="O1190" s="46"/>
      <c r="P1190" s="46"/>
      <c r="Q1190" s="46"/>
      <c r="R1190" s="46"/>
      <c r="S1190" s="46">
        <f t="shared" ref="S1190:AF1190" si="936">S1189+S1188</f>
        <v>78413.33</v>
      </c>
      <c r="T1190" s="46">
        <f t="shared" si="936"/>
        <v>76350</v>
      </c>
      <c r="U1190" s="46">
        <f t="shared" si="936"/>
        <v>74100</v>
      </c>
      <c r="V1190" s="46">
        <f t="shared" si="936"/>
        <v>71850</v>
      </c>
      <c r="W1190" s="46">
        <f t="shared" si="936"/>
        <v>69600</v>
      </c>
      <c r="X1190" s="46">
        <f t="shared" si="936"/>
        <v>67350</v>
      </c>
      <c r="Y1190" s="46">
        <f t="shared" si="936"/>
        <v>65100</v>
      </c>
      <c r="Z1190" s="503">
        <f t="shared" si="936"/>
        <v>62850</v>
      </c>
      <c r="AA1190" s="542">
        <f t="shared" si="936"/>
        <v>60600</v>
      </c>
      <c r="AB1190" s="46">
        <f t="shared" si="936"/>
        <v>59250</v>
      </c>
      <c r="AC1190" s="46">
        <f t="shared" si="936"/>
        <v>52900</v>
      </c>
      <c r="AD1190" s="46">
        <f t="shared" si="936"/>
        <v>51700</v>
      </c>
      <c r="AE1190" s="46">
        <f t="shared" si="936"/>
        <v>50400</v>
      </c>
      <c r="AF1190" s="46">
        <f t="shared" si="936"/>
        <v>49100</v>
      </c>
      <c r="AG1190" s="46">
        <f t="shared" ref="AG1190:AL1190" si="937">AG1189+AG1188</f>
        <v>47800</v>
      </c>
      <c r="AH1190" s="46">
        <f t="shared" si="937"/>
        <v>46500</v>
      </c>
      <c r="AI1190" s="46">
        <f t="shared" si="937"/>
        <v>45200</v>
      </c>
      <c r="AJ1190" s="46">
        <f t="shared" si="937"/>
        <v>43900</v>
      </c>
      <c r="AK1190" s="46">
        <f t="shared" si="937"/>
        <v>42600</v>
      </c>
      <c r="AL1190" s="46">
        <f t="shared" si="937"/>
        <v>41300</v>
      </c>
      <c r="AM1190" s="47" t="s">
        <v>11</v>
      </c>
      <c r="AN1190" s="47"/>
      <c r="AO1190" s="47"/>
      <c r="AP1190" s="47"/>
      <c r="AQ1190" s="47"/>
      <c r="AR1190" s="47"/>
      <c r="AS1190" s="47"/>
      <c r="AT1190" s="47"/>
    </row>
    <row r="1191" spans="1:46" s="6" customFormat="1" x14ac:dyDescent="0.25">
      <c r="A1191" s="26" t="s">
        <v>4</v>
      </c>
      <c r="B1191" s="26" t="s">
        <v>97</v>
      </c>
      <c r="C1191" s="306"/>
      <c r="D1191" s="10" t="s">
        <v>4</v>
      </c>
      <c r="E1191" s="25">
        <v>43193</v>
      </c>
      <c r="F1191" s="25" t="s">
        <v>267</v>
      </c>
      <c r="G1191" s="316" t="s">
        <v>794</v>
      </c>
      <c r="H1191" s="316">
        <v>61310278</v>
      </c>
      <c r="I1191" s="316">
        <v>586100</v>
      </c>
      <c r="J1191" s="2" t="s">
        <v>1</v>
      </c>
      <c r="K1191" s="27">
        <v>1000000</v>
      </c>
      <c r="L1191" s="4"/>
      <c r="M1191" s="4"/>
      <c r="N1191" s="4"/>
      <c r="O1191" s="4"/>
      <c r="P1191" s="283"/>
      <c r="Q1191" s="283"/>
      <c r="R1191" s="283"/>
      <c r="S1191" s="283">
        <v>50000</v>
      </c>
      <c r="T1191" s="283">
        <v>50000</v>
      </c>
      <c r="U1191" s="283">
        <v>50000</v>
      </c>
      <c r="V1191" s="283">
        <v>50000</v>
      </c>
      <c r="W1191" s="283">
        <v>50000</v>
      </c>
      <c r="X1191" s="283">
        <v>50000</v>
      </c>
      <c r="Y1191" s="283">
        <v>50000</v>
      </c>
      <c r="Z1191" s="497">
        <v>50000</v>
      </c>
      <c r="AA1191" s="536">
        <v>50000</v>
      </c>
      <c r="AB1191" s="283">
        <v>50000</v>
      </c>
      <c r="AC1191" s="283">
        <v>50000</v>
      </c>
      <c r="AD1191" s="283">
        <v>50000</v>
      </c>
      <c r="AE1191" s="283">
        <v>50000</v>
      </c>
      <c r="AF1191" s="283">
        <v>50000</v>
      </c>
      <c r="AG1191" s="283">
        <v>50000</v>
      </c>
      <c r="AH1191" s="283">
        <v>50000</v>
      </c>
      <c r="AI1191" s="283">
        <v>50000</v>
      </c>
      <c r="AJ1191" s="283">
        <v>50000</v>
      </c>
      <c r="AK1191" s="283">
        <v>50000</v>
      </c>
      <c r="AL1191" s="283">
        <v>50000</v>
      </c>
      <c r="AM1191" s="2" t="s">
        <v>11</v>
      </c>
      <c r="AN1191" s="2"/>
      <c r="AO1191" s="2"/>
      <c r="AP1191" s="2"/>
      <c r="AQ1191" s="2"/>
      <c r="AR1191" s="2"/>
      <c r="AS1191" s="2"/>
      <c r="AT1191" s="2"/>
    </row>
    <row r="1192" spans="1:46" s="6" customFormat="1" x14ac:dyDescent="0.25">
      <c r="A1192" s="400" t="s">
        <v>1064</v>
      </c>
      <c r="B1192" s="26"/>
      <c r="C1192" s="306"/>
      <c r="D1192" s="84"/>
      <c r="E1192" s="317" t="s">
        <v>13</v>
      </c>
      <c r="F1192" s="25"/>
      <c r="G1192" s="12" t="s">
        <v>902</v>
      </c>
      <c r="H1192" s="402" t="s">
        <v>1108</v>
      </c>
      <c r="I1192" s="12"/>
      <c r="J1192" s="17" t="s">
        <v>2</v>
      </c>
      <c r="K1192" s="379">
        <v>368782.64</v>
      </c>
      <c r="L1192" s="11"/>
      <c r="M1192" s="11"/>
      <c r="N1192" s="11"/>
      <c r="O1192" s="11"/>
      <c r="P1192" s="142"/>
      <c r="Q1192" s="142"/>
      <c r="R1192" s="142"/>
      <c r="S1192" s="142">
        <f>19345.14+19562.5</f>
        <v>38907.64</v>
      </c>
      <c r="T1192" s="142">
        <f>18312.5+18312.5</f>
        <v>36625</v>
      </c>
      <c r="U1192" s="142">
        <f>17062.5+17062.5</f>
        <v>34125</v>
      </c>
      <c r="V1192" s="142">
        <f>15812.5+15812.5</f>
        <v>31625</v>
      </c>
      <c r="W1192" s="142">
        <f>14562.5+14562.5</f>
        <v>29125</v>
      </c>
      <c r="X1192" s="142">
        <f>13312.5+13312.5</f>
        <v>26625</v>
      </c>
      <c r="Y1192" s="142">
        <f>12062.5+12062.5</f>
        <v>24125</v>
      </c>
      <c r="Z1192" s="500">
        <f>10812.5+10812.5</f>
        <v>21625</v>
      </c>
      <c r="AA1192" s="539">
        <f>9562.5+9562.5</f>
        <v>19125</v>
      </c>
      <c r="AB1192" s="142">
        <f>8812.5+8812.5</f>
        <v>17625</v>
      </c>
      <c r="AC1192" s="142">
        <f>8062.5+8062.5</f>
        <v>16125</v>
      </c>
      <c r="AD1192" s="142">
        <f>7312.5+7312.5</f>
        <v>14625</v>
      </c>
      <c r="AE1192" s="142">
        <f>6500+6500</f>
        <v>13000</v>
      </c>
      <c r="AF1192" s="142">
        <f>5687.5+5687.5</f>
        <v>11375</v>
      </c>
      <c r="AG1192" s="142">
        <f>4875+4875</f>
        <v>9750</v>
      </c>
      <c r="AH1192" s="142">
        <f>4062.5+4062.5</f>
        <v>8125</v>
      </c>
      <c r="AI1192" s="142">
        <f>3250+3250</f>
        <v>6500</v>
      </c>
      <c r="AJ1192" s="142">
        <f>2437.5+2437.5</f>
        <v>4875</v>
      </c>
      <c r="AK1192" s="142">
        <f>1625+1625</f>
        <v>3250</v>
      </c>
      <c r="AL1192" s="142">
        <f>812.5+812.5</f>
        <v>1625</v>
      </c>
      <c r="AM1192" s="17" t="s">
        <v>11</v>
      </c>
      <c r="AN1192" s="17"/>
      <c r="AO1192" s="17"/>
      <c r="AP1192" s="17"/>
      <c r="AQ1192" s="17"/>
      <c r="AR1192" s="17"/>
      <c r="AS1192" s="17"/>
      <c r="AT1192" s="17"/>
    </row>
    <row r="1193" spans="1:46" s="6" customFormat="1" ht="13.8" thickBot="1" x14ac:dyDescent="0.3">
      <c r="A1193" s="409" t="s">
        <v>1115</v>
      </c>
      <c r="B1193" s="120"/>
      <c r="C1193" s="307"/>
      <c r="D1193" s="89"/>
      <c r="E1193" s="90" t="s">
        <v>16</v>
      </c>
      <c r="F1193" s="90" t="s">
        <v>407</v>
      </c>
      <c r="G1193" s="355"/>
      <c r="H1193" s="124"/>
      <c r="I1193" s="124"/>
      <c r="J1193" s="41" t="s">
        <v>6</v>
      </c>
      <c r="K1193" s="42">
        <f>K1192+K1191</f>
        <v>1368782.6400000001</v>
      </c>
      <c r="L1193" s="43"/>
      <c r="M1193" s="43"/>
      <c r="N1193" s="43"/>
      <c r="O1193" s="43"/>
      <c r="P1193" s="43"/>
      <c r="Q1193" s="43"/>
      <c r="R1193" s="43"/>
      <c r="S1193" s="43">
        <f t="shared" ref="S1193:AF1193" si="938">S1192+S1191</f>
        <v>88907.64</v>
      </c>
      <c r="T1193" s="43">
        <f t="shared" si="938"/>
        <v>86625</v>
      </c>
      <c r="U1193" s="43">
        <f t="shared" si="938"/>
        <v>84125</v>
      </c>
      <c r="V1193" s="43">
        <f t="shared" si="938"/>
        <v>81625</v>
      </c>
      <c r="W1193" s="43">
        <f t="shared" si="938"/>
        <v>79125</v>
      </c>
      <c r="X1193" s="43">
        <f t="shared" si="938"/>
        <v>76625</v>
      </c>
      <c r="Y1193" s="43">
        <f t="shared" si="938"/>
        <v>74125</v>
      </c>
      <c r="Z1193" s="499">
        <f t="shared" si="938"/>
        <v>71625</v>
      </c>
      <c r="AA1193" s="538">
        <f t="shared" si="938"/>
        <v>69125</v>
      </c>
      <c r="AB1193" s="43">
        <f t="shared" si="938"/>
        <v>67625</v>
      </c>
      <c r="AC1193" s="43">
        <f t="shared" si="938"/>
        <v>66125</v>
      </c>
      <c r="AD1193" s="43">
        <f t="shared" si="938"/>
        <v>64625</v>
      </c>
      <c r="AE1193" s="43">
        <f t="shared" si="938"/>
        <v>63000</v>
      </c>
      <c r="AF1193" s="43">
        <f t="shared" si="938"/>
        <v>61375</v>
      </c>
      <c r="AG1193" s="43">
        <f t="shared" ref="AG1193:AL1193" si="939">AG1192+AG1191</f>
        <v>59750</v>
      </c>
      <c r="AH1193" s="43">
        <f t="shared" si="939"/>
        <v>58125</v>
      </c>
      <c r="AI1193" s="43">
        <f t="shared" si="939"/>
        <v>56500</v>
      </c>
      <c r="AJ1193" s="43">
        <f t="shared" si="939"/>
        <v>54875</v>
      </c>
      <c r="AK1193" s="43">
        <f t="shared" si="939"/>
        <v>53250</v>
      </c>
      <c r="AL1193" s="43">
        <f t="shared" si="939"/>
        <v>51625</v>
      </c>
      <c r="AM1193" s="41" t="s">
        <v>11</v>
      </c>
      <c r="AN1193" s="41"/>
      <c r="AO1193" s="41"/>
      <c r="AP1193" s="41"/>
      <c r="AQ1193" s="41"/>
      <c r="AR1193" s="41"/>
      <c r="AS1193" s="41"/>
      <c r="AT1193" s="41"/>
    </row>
    <row r="1194" spans="1:46" s="6" customFormat="1" x14ac:dyDescent="0.25">
      <c r="A1194" s="26" t="s">
        <v>4</v>
      </c>
      <c r="B1194" s="26" t="s">
        <v>97</v>
      </c>
      <c r="C1194" s="306"/>
      <c r="D1194" s="10" t="s">
        <v>4</v>
      </c>
      <c r="E1194" s="25">
        <v>43193</v>
      </c>
      <c r="F1194" s="25" t="s">
        <v>267</v>
      </c>
      <c r="G1194" s="316" t="s">
        <v>903</v>
      </c>
      <c r="H1194" s="316">
        <v>61310278</v>
      </c>
      <c r="I1194" s="316">
        <v>584018</v>
      </c>
      <c r="J1194" s="2" t="s">
        <v>1</v>
      </c>
      <c r="K1194" s="27">
        <v>1100000</v>
      </c>
      <c r="L1194" s="4"/>
      <c r="M1194" s="4"/>
      <c r="N1194" s="4"/>
      <c r="O1194" s="4"/>
      <c r="P1194" s="283"/>
      <c r="Q1194" s="283"/>
      <c r="R1194" s="283"/>
      <c r="S1194" s="283">
        <v>55000</v>
      </c>
      <c r="T1194" s="283">
        <v>55000</v>
      </c>
      <c r="U1194" s="283">
        <v>55000</v>
      </c>
      <c r="V1194" s="283">
        <v>55000</v>
      </c>
      <c r="W1194" s="283">
        <v>55000</v>
      </c>
      <c r="X1194" s="283">
        <v>55000</v>
      </c>
      <c r="Y1194" s="283">
        <v>55000</v>
      </c>
      <c r="Z1194" s="497">
        <v>55000</v>
      </c>
      <c r="AA1194" s="536">
        <v>55000</v>
      </c>
      <c r="AB1194" s="283">
        <v>55000</v>
      </c>
      <c r="AC1194" s="283">
        <v>55000</v>
      </c>
      <c r="AD1194" s="283">
        <v>55000</v>
      </c>
      <c r="AE1194" s="283">
        <v>55000</v>
      </c>
      <c r="AF1194" s="283">
        <v>55000</v>
      </c>
      <c r="AG1194" s="283">
        <v>55000</v>
      </c>
      <c r="AH1194" s="283">
        <v>55000</v>
      </c>
      <c r="AI1194" s="283">
        <v>55000</v>
      </c>
      <c r="AJ1194" s="283">
        <v>55000</v>
      </c>
      <c r="AK1194" s="283">
        <v>55000</v>
      </c>
      <c r="AL1194" s="283">
        <v>55000</v>
      </c>
      <c r="AM1194" s="2" t="s">
        <v>11</v>
      </c>
      <c r="AN1194" s="2"/>
      <c r="AO1194" s="2"/>
      <c r="AP1194" s="2"/>
      <c r="AQ1194" s="2"/>
      <c r="AR1194" s="2"/>
      <c r="AS1194" s="2"/>
      <c r="AT1194" s="2"/>
    </row>
    <row r="1195" spans="1:46" s="6" customFormat="1" x14ac:dyDescent="0.25">
      <c r="A1195" s="400" t="s">
        <v>1065</v>
      </c>
      <c r="B1195" s="26"/>
      <c r="C1195" s="306"/>
      <c r="D1195" s="84"/>
      <c r="E1195" s="317" t="s">
        <v>13</v>
      </c>
      <c r="F1195" s="25"/>
      <c r="G1195" s="12" t="s">
        <v>904</v>
      </c>
      <c r="H1195" s="402" t="s">
        <v>1108</v>
      </c>
      <c r="I1195" s="12"/>
      <c r="J1195" s="17" t="s">
        <v>2</v>
      </c>
      <c r="K1195" s="379">
        <v>405660.9</v>
      </c>
      <c r="L1195" s="11"/>
      <c r="M1195" s="11"/>
      <c r="N1195" s="11"/>
      <c r="O1195" s="11"/>
      <c r="P1195" s="142"/>
      <c r="Q1195" s="142"/>
      <c r="R1195" s="142"/>
      <c r="S1195" s="142">
        <f>21279.65+21518.75</f>
        <v>42798.400000000001</v>
      </c>
      <c r="T1195" s="142">
        <f>20143.75+20143.75</f>
        <v>40287.5</v>
      </c>
      <c r="U1195" s="142">
        <f>18768.75+18768.75</f>
        <v>37537.5</v>
      </c>
      <c r="V1195" s="142">
        <f>17393.75+17393.75</f>
        <v>34787.5</v>
      </c>
      <c r="W1195" s="142">
        <f>16018.75+16018.75</f>
        <v>32037.5</v>
      </c>
      <c r="X1195" s="142">
        <f>14643.75+14643.75</f>
        <v>29287.5</v>
      </c>
      <c r="Y1195" s="142">
        <f>13268.75+13268.75</f>
        <v>26537.5</v>
      </c>
      <c r="Z1195" s="500">
        <f>11893.75+11893.75</f>
        <v>23787.5</v>
      </c>
      <c r="AA1195" s="539">
        <f>10518.75+10518.75</f>
        <v>21037.5</v>
      </c>
      <c r="AB1195" s="142">
        <f>9693.75+9693.75</f>
        <v>19387.5</v>
      </c>
      <c r="AC1195" s="142">
        <f>8868.75+8868.75</f>
        <v>17737.5</v>
      </c>
      <c r="AD1195" s="142">
        <f>8043.75+8043.75</f>
        <v>16087.5</v>
      </c>
      <c r="AE1195" s="142">
        <f>7150+7150</f>
        <v>14300</v>
      </c>
      <c r="AF1195" s="142">
        <f>6256.25+6256.25</f>
        <v>12512.5</v>
      </c>
      <c r="AG1195" s="142">
        <f>5362.5+5362.5</f>
        <v>10725</v>
      </c>
      <c r="AH1195" s="142">
        <f>4468.75+4468.75</f>
        <v>8937.5</v>
      </c>
      <c r="AI1195" s="142">
        <f>3575+3575</f>
        <v>7150</v>
      </c>
      <c r="AJ1195" s="142">
        <f>2681.25+2681.25</f>
        <v>5362.5</v>
      </c>
      <c r="AK1195" s="142">
        <f>1787.5+1787.5</f>
        <v>3575</v>
      </c>
      <c r="AL1195" s="142">
        <f>893.75+893.75</f>
        <v>1787.5</v>
      </c>
      <c r="AM1195" s="17" t="s">
        <v>11</v>
      </c>
      <c r="AN1195" s="17"/>
      <c r="AO1195" s="17"/>
      <c r="AP1195" s="17"/>
      <c r="AQ1195" s="17"/>
      <c r="AR1195" s="17"/>
      <c r="AS1195" s="17"/>
      <c r="AT1195" s="17"/>
    </row>
    <row r="1196" spans="1:46" s="6" customFormat="1" ht="13.8" thickBot="1" x14ac:dyDescent="0.3">
      <c r="A1196" s="409" t="s">
        <v>1115</v>
      </c>
      <c r="B1196" s="120"/>
      <c r="C1196" s="307"/>
      <c r="D1196" s="89"/>
      <c r="E1196" s="90" t="s">
        <v>16</v>
      </c>
      <c r="F1196" s="90" t="s">
        <v>407</v>
      </c>
      <c r="G1196" s="355"/>
      <c r="H1196" s="124"/>
      <c r="I1196" s="124"/>
      <c r="J1196" s="41" t="s">
        <v>6</v>
      </c>
      <c r="K1196" s="42">
        <f>K1195+K1194</f>
        <v>1505660.9</v>
      </c>
      <c r="L1196" s="43"/>
      <c r="M1196" s="43"/>
      <c r="N1196" s="43"/>
      <c r="O1196" s="43"/>
      <c r="P1196" s="43"/>
      <c r="Q1196" s="43"/>
      <c r="R1196" s="43"/>
      <c r="S1196" s="43">
        <f t="shared" ref="S1196:AF1196" si="940">S1195+S1194</f>
        <v>97798.399999999994</v>
      </c>
      <c r="T1196" s="43">
        <f t="shared" si="940"/>
        <v>95287.5</v>
      </c>
      <c r="U1196" s="43">
        <f t="shared" si="940"/>
        <v>92537.5</v>
      </c>
      <c r="V1196" s="43">
        <f t="shared" si="940"/>
        <v>89787.5</v>
      </c>
      <c r="W1196" s="43">
        <f t="shared" si="940"/>
        <v>87037.5</v>
      </c>
      <c r="X1196" s="43">
        <f t="shared" si="940"/>
        <v>84287.5</v>
      </c>
      <c r="Y1196" s="43">
        <f t="shared" si="940"/>
        <v>81537.5</v>
      </c>
      <c r="Z1196" s="499">
        <f t="shared" si="940"/>
        <v>78787.5</v>
      </c>
      <c r="AA1196" s="538">
        <f t="shared" si="940"/>
        <v>76037.5</v>
      </c>
      <c r="AB1196" s="43">
        <f t="shared" si="940"/>
        <v>74387.5</v>
      </c>
      <c r="AC1196" s="43">
        <f t="shared" si="940"/>
        <v>72737.5</v>
      </c>
      <c r="AD1196" s="43">
        <f t="shared" si="940"/>
        <v>71087.5</v>
      </c>
      <c r="AE1196" s="43">
        <f t="shared" si="940"/>
        <v>69300</v>
      </c>
      <c r="AF1196" s="43">
        <f t="shared" si="940"/>
        <v>67512.5</v>
      </c>
      <c r="AG1196" s="43">
        <f t="shared" ref="AG1196:AL1196" si="941">AG1195+AG1194</f>
        <v>65725</v>
      </c>
      <c r="AH1196" s="43">
        <f t="shared" si="941"/>
        <v>63937.5</v>
      </c>
      <c r="AI1196" s="43">
        <f t="shared" si="941"/>
        <v>62150</v>
      </c>
      <c r="AJ1196" s="43">
        <f t="shared" si="941"/>
        <v>60362.5</v>
      </c>
      <c r="AK1196" s="43">
        <f t="shared" si="941"/>
        <v>58575</v>
      </c>
      <c r="AL1196" s="43">
        <f t="shared" si="941"/>
        <v>56787.5</v>
      </c>
      <c r="AM1196" s="41" t="s">
        <v>11</v>
      </c>
      <c r="AN1196" s="41"/>
      <c r="AO1196" s="41"/>
      <c r="AP1196" s="41"/>
      <c r="AQ1196" s="41"/>
      <c r="AR1196" s="41"/>
      <c r="AS1196" s="41"/>
      <c r="AT1196" s="41"/>
    </row>
    <row r="1197" spans="1:46" s="8" customFormat="1" x14ac:dyDescent="0.25">
      <c r="A1197" s="121"/>
      <c r="B1197" s="121"/>
      <c r="C1197" s="306"/>
      <c r="D1197" s="55"/>
      <c r="E1197" s="55"/>
      <c r="F1197" s="55"/>
      <c r="G1197" s="9" t="s">
        <v>7</v>
      </c>
      <c r="H1197" s="9">
        <v>61774319</v>
      </c>
      <c r="I1197" s="9">
        <v>591100</v>
      </c>
      <c r="J1197" s="10" t="s">
        <v>1</v>
      </c>
      <c r="K1197" s="31">
        <f>K1194+K1191</f>
        <v>2100000</v>
      </c>
      <c r="L1197" s="7"/>
      <c r="M1197" s="7"/>
      <c r="N1197" s="67"/>
      <c r="O1197" s="67"/>
      <c r="P1197" s="67"/>
      <c r="Q1197" s="67"/>
      <c r="R1197" s="67"/>
      <c r="S1197" s="67">
        <f>S1194+S1191</f>
        <v>105000</v>
      </c>
      <c r="T1197" s="67">
        <f>T1194+T1191</f>
        <v>105000</v>
      </c>
      <c r="U1197" s="67">
        <f t="shared" ref="U1197:AL1197" si="942">U1194+U1191</f>
        <v>105000</v>
      </c>
      <c r="V1197" s="67">
        <f t="shared" si="942"/>
        <v>105000</v>
      </c>
      <c r="W1197" s="67">
        <f t="shared" si="942"/>
        <v>105000</v>
      </c>
      <c r="X1197" s="67">
        <f t="shared" si="942"/>
        <v>105000</v>
      </c>
      <c r="Y1197" s="67">
        <f t="shared" si="942"/>
        <v>105000</v>
      </c>
      <c r="Z1197" s="507">
        <f t="shared" si="942"/>
        <v>105000</v>
      </c>
      <c r="AA1197" s="546">
        <f t="shared" si="942"/>
        <v>105000</v>
      </c>
      <c r="AB1197" s="67">
        <f t="shared" si="942"/>
        <v>105000</v>
      </c>
      <c r="AC1197" s="67">
        <f t="shared" si="942"/>
        <v>105000</v>
      </c>
      <c r="AD1197" s="67">
        <f t="shared" si="942"/>
        <v>105000</v>
      </c>
      <c r="AE1197" s="67">
        <f t="shared" si="942"/>
        <v>105000</v>
      </c>
      <c r="AF1197" s="67">
        <f t="shared" si="942"/>
        <v>105000</v>
      </c>
      <c r="AG1197" s="67">
        <f t="shared" si="942"/>
        <v>105000</v>
      </c>
      <c r="AH1197" s="67">
        <f t="shared" si="942"/>
        <v>105000</v>
      </c>
      <c r="AI1197" s="67">
        <f t="shared" si="942"/>
        <v>105000</v>
      </c>
      <c r="AJ1197" s="67">
        <f t="shared" si="942"/>
        <v>105000</v>
      </c>
      <c r="AK1197" s="67">
        <f t="shared" si="942"/>
        <v>105000</v>
      </c>
      <c r="AL1197" s="67">
        <f t="shared" si="942"/>
        <v>105000</v>
      </c>
      <c r="AM1197" s="3" t="s">
        <v>11</v>
      </c>
      <c r="AN1197" s="3"/>
      <c r="AO1197" s="3"/>
      <c r="AP1197" s="3"/>
      <c r="AQ1197" s="3"/>
      <c r="AR1197" s="3"/>
      <c r="AS1197" s="3"/>
      <c r="AT1197" s="3"/>
    </row>
    <row r="1198" spans="1:46" s="8" customFormat="1" x14ac:dyDescent="0.25">
      <c r="A1198" s="121"/>
      <c r="B1198" s="121"/>
      <c r="C1198" s="306"/>
      <c r="D1198" s="10"/>
      <c r="E1198" s="10"/>
      <c r="F1198" s="10"/>
      <c r="G1198" s="10"/>
      <c r="H1198" s="9">
        <v>61774319</v>
      </c>
      <c r="I1198" s="10">
        <v>595100</v>
      </c>
      <c r="J1198" s="19" t="s">
        <v>2</v>
      </c>
      <c r="K1198" s="31">
        <f>K1195+K1192</f>
        <v>774443.54</v>
      </c>
      <c r="L1198" s="16"/>
      <c r="M1198" s="16"/>
      <c r="N1198" s="16"/>
      <c r="O1198" s="16"/>
      <c r="P1198" s="16"/>
      <c r="Q1198" s="16"/>
      <c r="R1198" s="16"/>
      <c r="S1198" s="16">
        <f>S1195+S1192</f>
        <v>81706.040000000008</v>
      </c>
      <c r="T1198" s="16">
        <f>T1195+T1192</f>
        <v>76912.5</v>
      </c>
      <c r="U1198" s="16">
        <f t="shared" ref="U1198:AL1198" si="943">U1195+U1192</f>
        <v>71662.5</v>
      </c>
      <c r="V1198" s="16">
        <f t="shared" si="943"/>
        <v>66412.5</v>
      </c>
      <c r="W1198" s="16">
        <f t="shared" si="943"/>
        <v>61162.5</v>
      </c>
      <c r="X1198" s="16">
        <f t="shared" si="943"/>
        <v>55912.5</v>
      </c>
      <c r="Y1198" s="16">
        <f t="shared" si="943"/>
        <v>50662.5</v>
      </c>
      <c r="Z1198" s="502">
        <f t="shared" si="943"/>
        <v>45412.5</v>
      </c>
      <c r="AA1198" s="541">
        <f t="shared" si="943"/>
        <v>40162.5</v>
      </c>
      <c r="AB1198" s="16">
        <f t="shared" si="943"/>
        <v>37012.5</v>
      </c>
      <c r="AC1198" s="16">
        <f t="shared" si="943"/>
        <v>33862.5</v>
      </c>
      <c r="AD1198" s="16">
        <f t="shared" si="943"/>
        <v>30712.5</v>
      </c>
      <c r="AE1198" s="16">
        <f t="shared" si="943"/>
        <v>27300</v>
      </c>
      <c r="AF1198" s="16">
        <f t="shared" si="943"/>
        <v>23887.5</v>
      </c>
      <c r="AG1198" s="16">
        <f t="shared" si="943"/>
        <v>20475</v>
      </c>
      <c r="AH1198" s="16">
        <f t="shared" si="943"/>
        <v>17062.5</v>
      </c>
      <c r="AI1198" s="16">
        <f t="shared" si="943"/>
        <v>13650</v>
      </c>
      <c r="AJ1198" s="16">
        <f t="shared" si="943"/>
        <v>10237.5</v>
      </c>
      <c r="AK1198" s="16">
        <f t="shared" si="943"/>
        <v>6825</v>
      </c>
      <c r="AL1198" s="16">
        <f t="shared" si="943"/>
        <v>3412.5</v>
      </c>
      <c r="AM1198" s="20" t="s">
        <v>11</v>
      </c>
      <c r="AN1198" s="20"/>
      <c r="AO1198" s="20"/>
      <c r="AP1198" s="20"/>
      <c r="AQ1198" s="20"/>
      <c r="AR1198" s="20"/>
      <c r="AS1198" s="20"/>
      <c r="AT1198" s="20"/>
    </row>
    <row r="1199" spans="1:46" s="8" customFormat="1" ht="13.8" thickBot="1" x14ac:dyDescent="0.3">
      <c r="A1199" s="122"/>
      <c r="B1199" s="122"/>
      <c r="C1199" s="307"/>
      <c r="D1199" s="91"/>
      <c r="E1199" s="91"/>
      <c r="F1199" s="91"/>
      <c r="G1199" s="91"/>
      <c r="H1199" s="91"/>
      <c r="I1199" s="91"/>
      <c r="J1199" s="52" t="s">
        <v>5</v>
      </c>
      <c r="K1199" s="53">
        <f>K1198+K1197</f>
        <v>2874443.54</v>
      </c>
      <c r="L1199" s="46"/>
      <c r="M1199" s="46"/>
      <c r="N1199" s="46"/>
      <c r="O1199" s="46"/>
      <c r="P1199" s="46"/>
      <c r="Q1199" s="46"/>
      <c r="R1199" s="46"/>
      <c r="S1199" s="46">
        <f t="shared" ref="S1199:AF1199" si="944">S1198+S1197</f>
        <v>186706.04</v>
      </c>
      <c r="T1199" s="46">
        <f t="shared" si="944"/>
        <v>181912.5</v>
      </c>
      <c r="U1199" s="46">
        <f t="shared" si="944"/>
        <v>176662.5</v>
      </c>
      <c r="V1199" s="46">
        <f t="shared" si="944"/>
        <v>171412.5</v>
      </c>
      <c r="W1199" s="46">
        <f t="shared" si="944"/>
        <v>166162.5</v>
      </c>
      <c r="X1199" s="46">
        <f t="shared" si="944"/>
        <v>160912.5</v>
      </c>
      <c r="Y1199" s="46">
        <f t="shared" si="944"/>
        <v>155662.5</v>
      </c>
      <c r="Z1199" s="503">
        <f t="shared" si="944"/>
        <v>150412.5</v>
      </c>
      <c r="AA1199" s="542">
        <f t="shared" si="944"/>
        <v>145162.5</v>
      </c>
      <c r="AB1199" s="46">
        <f t="shared" si="944"/>
        <v>142012.5</v>
      </c>
      <c r="AC1199" s="46">
        <f t="shared" si="944"/>
        <v>138862.5</v>
      </c>
      <c r="AD1199" s="46">
        <f t="shared" si="944"/>
        <v>135712.5</v>
      </c>
      <c r="AE1199" s="46">
        <f t="shared" si="944"/>
        <v>132300</v>
      </c>
      <c r="AF1199" s="46">
        <f t="shared" si="944"/>
        <v>128887.5</v>
      </c>
      <c r="AG1199" s="46">
        <f t="shared" ref="AG1199:AL1199" si="945">AG1198+AG1197</f>
        <v>125475</v>
      </c>
      <c r="AH1199" s="46">
        <f t="shared" si="945"/>
        <v>122062.5</v>
      </c>
      <c r="AI1199" s="46">
        <f t="shared" si="945"/>
        <v>118650</v>
      </c>
      <c r="AJ1199" s="46">
        <f t="shared" si="945"/>
        <v>115237.5</v>
      </c>
      <c r="AK1199" s="46">
        <f t="shared" si="945"/>
        <v>111825</v>
      </c>
      <c r="AL1199" s="46">
        <f t="shared" si="945"/>
        <v>108412.5</v>
      </c>
      <c r="AM1199" s="47" t="s">
        <v>11</v>
      </c>
      <c r="AN1199" s="47"/>
      <c r="AO1199" s="47"/>
      <c r="AP1199" s="47"/>
      <c r="AQ1199" s="47"/>
      <c r="AR1199" s="47"/>
      <c r="AS1199" s="47"/>
      <c r="AT1199" s="47"/>
    </row>
    <row r="1200" spans="1:46" s="3" customFormat="1" x14ac:dyDescent="0.25">
      <c r="A1200" s="121"/>
      <c r="B1200" s="121"/>
      <c r="C1200" s="306"/>
      <c r="D1200" s="102"/>
      <c r="E1200" s="285"/>
      <c r="F1200" s="102"/>
      <c r="G1200" s="103" t="s">
        <v>1352</v>
      </c>
      <c r="H1200" s="103"/>
      <c r="I1200" s="103"/>
      <c r="J1200" s="104" t="s">
        <v>1</v>
      </c>
      <c r="K1200" s="105">
        <f>K1197+K1188+K1182</f>
        <v>6540000</v>
      </c>
      <c r="L1200" s="7"/>
      <c r="M1200" s="7"/>
      <c r="N1200" s="67"/>
      <c r="O1200" s="67"/>
      <c r="P1200" s="67"/>
      <c r="Q1200" s="67"/>
      <c r="R1200" s="67"/>
      <c r="S1200" s="67">
        <f>S1197+S1188+S1182</f>
        <v>575000</v>
      </c>
      <c r="T1200" s="67">
        <f>T1197+T1188+T1182</f>
        <v>560000</v>
      </c>
      <c r="U1200" s="67">
        <f t="shared" ref="U1200:AL1200" si="946">U1197+U1188+U1182</f>
        <v>555000</v>
      </c>
      <c r="V1200" s="67">
        <f t="shared" si="946"/>
        <v>540000</v>
      </c>
      <c r="W1200" s="67">
        <f t="shared" si="946"/>
        <v>470000</v>
      </c>
      <c r="X1200" s="67">
        <f t="shared" si="946"/>
        <v>315000</v>
      </c>
      <c r="Y1200" s="67">
        <f t="shared" si="946"/>
        <v>315000</v>
      </c>
      <c r="Z1200" s="507">
        <f t="shared" si="946"/>
        <v>315000</v>
      </c>
      <c r="AA1200" s="546">
        <f t="shared" si="946"/>
        <v>315000</v>
      </c>
      <c r="AB1200" s="67">
        <f t="shared" si="946"/>
        <v>315000</v>
      </c>
      <c r="AC1200" s="67">
        <f t="shared" si="946"/>
        <v>265000</v>
      </c>
      <c r="AD1200" s="67">
        <f t="shared" si="946"/>
        <v>265000</v>
      </c>
      <c r="AE1200" s="67">
        <f t="shared" si="946"/>
        <v>265000</v>
      </c>
      <c r="AF1200" s="67">
        <f t="shared" si="946"/>
        <v>265000</v>
      </c>
      <c r="AG1200" s="67">
        <f t="shared" si="946"/>
        <v>255000</v>
      </c>
      <c r="AH1200" s="67">
        <f t="shared" si="946"/>
        <v>190000</v>
      </c>
      <c r="AI1200" s="67">
        <f t="shared" si="946"/>
        <v>190000</v>
      </c>
      <c r="AJ1200" s="67">
        <f t="shared" si="946"/>
        <v>190000</v>
      </c>
      <c r="AK1200" s="67">
        <f t="shared" si="946"/>
        <v>190000</v>
      </c>
      <c r="AL1200" s="67">
        <f t="shared" si="946"/>
        <v>190000</v>
      </c>
      <c r="AM1200" s="3" t="s">
        <v>11</v>
      </c>
    </row>
    <row r="1201" spans="1:46" s="3" customFormat="1" ht="13.8" thickBot="1" x14ac:dyDescent="0.3">
      <c r="A1201" s="121"/>
      <c r="B1201" s="121"/>
      <c r="C1201" s="306"/>
      <c r="D1201" s="104"/>
      <c r="E1201" s="285" t="s">
        <v>878</v>
      </c>
      <c r="F1201" s="104"/>
      <c r="G1201" s="103"/>
      <c r="H1201" s="103"/>
      <c r="I1201" s="103"/>
      <c r="J1201" s="106" t="s">
        <v>2</v>
      </c>
      <c r="K1201" s="107">
        <f>K1198+K1189+K1183</f>
        <v>2005677.23</v>
      </c>
      <c r="L1201" s="22"/>
      <c r="M1201" s="22"/>
      <c r="N1201" s="22"/>
      <c r="O1201" s="22"/>
      <c r="P1201" s="22"/>
      <c r="Q1201" s="22"/>
      <c r="R1201" s="22"/>
      <c r="S1201" s="22">
        <f>S1198+S1189+S1183</f>
        <v>272577.23000000004</v>
      </c>
      <c r="T1201" s="22">
        <f>T1198+T1189+T1183</f>
        <v>245350</v>
      </c>
      <c r="U1201" s="22">
        <f t="shared" ref="U1201:AL1201" si="947">U1198+U1189+U1183</f>
        <v>217350</v>
      </c>
      <c r="V1201" s="22">
        <f t="shared" si="947"/>
        <v>189600</v>
      </c>
      <c r="W1201" s="22">
        <f t="shared" si="947"/>
        <v>162600</v>
      </c>
      <c r="X1201" s="22">
        <f t="shared" si="947"/>
        <v>139100</v>
      </c>
      <c r="Y1201" s="22">
        <f t="shared" si="947"/>
        <v>123350</v>
      </c>
      <c r="Z1201" s="506">
        <f t="shared" si="947"/>
        <v>107600</v>
      </c>
      <c r="AA1201" s="545">
        <f t="shared" si="947"/>
        <v>91850</v>
      </c>
      <c r="AB1201" s="22">
        <f t="shared" si="947"/>
        <v>82400</v>
      </c>
      <c r="AC1201" s="22">
        <f t="shared" si="947"/>
        <v>72950</v>
      </c>
      <c r="AD1201" s="22">
        <f t="shared" si="947"/>
        <v>65000</v>
      </c>
      <c r="AE1201" s="22">
        <f t="shared" si="947"/>
        <v>56387.5</v>
      </c>
      <c r="AF1201" s="22">
        <f t="shared" si="947"/>
        <v>47775</v>
      </c>
      <c r="AG1201" s="22">
        <f t="shared" si="947"/>
        <v>39162.5</v>
      </c>
      <c r="AH1201" s="22">
        <f t="shared" si="947"/>
        <v>30875</v>
      </c>
      <c r="AI1201" s="22">
        <f t="shared" si="947"/>
        <v>24700</v>
      </c>
      <c r="AJ1201" s="22">
        <f t="shared" si="947"/>
        <v>18525</v>
      </c>
      <c r="AK1201" s="22">
        <f t="shared" si="947"/>
        <v>12350</v>
      </c>
      <c r="AL1201" s="22">
        <f t="shared" si="947"/>
        <v>6175</v>
      </c>
      <c r="AM1201" s="23" t="s">
        <v>11</v>
      </c>
      <c r="AN1201" s="23"/>
      <c r="AO1201" s="23"/>
      <c r="AP1201" s="23"/>
      <c r="AQ1201" s="23"/>
      <c r="AR1201" s="23"/>
      <c r="AS1201" s="23"/>
      <c r="AT1201" s="23"/>
    </row>
    <row r="1202" spans="1:46" s="6" customFormat="1" x14ac:dyDescent="0.25">
      <c r="A1202" s="26"/>
      <c r="B1202" s="26"/>
      <c r="C1202" s="306"/>
      <c r="D1202" s="108"/>
      <c r="E1202" s="286" t="s">
        <v>879</v>
      </c>
      <c r="F1202" s="108"/>
      <c r="G1202" s="287" t="s">
        <v>1340</v>
      </c>
      <c r="H1202" s="103"/>
      <c r="I1202" s="103"/>
      <c r="J1202" s="109" t="s">
        <v>5</v>
      </c>
      <c r="K1202" s="110">
        <f>K1201+K1200</f>
        <v>8545677.2300000004</v>
      </c>
      <c r="L1202" s="67"/>
      <c r="M1202" s="67"/>
      <c r="N1202" s="282"/>
      <c r="O1202" s="282"/>
      <c r="P1202" s="282"/>
      <c r="Q1202" s="282"/>
      <c r="R1202" s="282"/>
      <c r="S1202" s="282">
        <f t="shared" ref="S1202:AF1202" si="948">S1201+S1200</f>
        <v>847577.23</v>
      </c>
      <c r="T1202" s="282">
        <f t="shared" si="948"/>
        <v>805350</v>
      </c>
      <c r="U1202" s="282">
        <f t="shared" si="948"/>
        <v>772350</v>
      </c>
      <c r="V1202" s="282">
        <f t="shared" si="948"/>
        <v>729600</v>
      </c>
      <c r="W1202" s="282">
        <f t="shared" si="948"/>
        <v>632600</v>
      </c>
      <c r="X1202" s="282">
        <f t="shared" si="948"/>
        <v>454100</v>
      </c>
      <c r="Y1202" s="282">
        <f t="shared" si="948"/>
        <v>438350</v>
      </c>
      <c r="Z1202" s="508">
        <f t="shared" si="948"/>
        <v>422600</v>
      </c>
      <c r="AA1202" s="551">
        <f t="shared" si="948"/>
        <v>406850</v>
      </c>
      <c r="AB1202" s="282">
        <f t="shared" si="948"/>
        <v>397400</v>
      </c>
      <c r="AC1202" s="282">
        <f t="shared" si="948"/>
        <v>337950</v>
      </c>
      <c r="AD1202" s="282">
        <f t="shared" si="948"/>
        <v>330000</v>
      </c>
      <c r="AE1202" s="282">
        <f t="shared" si="948"/>
        <v>321387.5</v>
      </c>
      <c r="AF1202" s="282">
        <f t="shared" si="948"/>
        <v>312775</v>
      </c>
      <c r="AG1202" s="282">
        <f t="shared" ref="AG1202:AL1202" si="949">AG1201+AG1200</f>
        <v>294162.5</v>
      </c>
      <c r="AH1202" s="282">
        <f t="shared" si="949"/>
        <v>220875</v>
      </c>
      <c r="AI1202" s="282">
        <f t="shared" si="949"/>
        <v>214700</v>
      </c>
      <c r="AJ1202" s="282">
        <f t="shared" si="949"/>
        <v>208525</v>
      </c>
      <c r="AK1202" s="282">
        <f t="shared" si="949"/>
        <v>202350</v>
      </c>
      <c r="AL1202" s="282">
        <f t="shared" si="949"/>
        <v>196175</v>
      </c>
      <c r="AM1202" s="134" t="s">
        <v>11</v>
      </c>
      <c r="AN1202" s="69"/>
      <c r="AO1202" s="69"/>
      <c r="AP1202" s="69"/>
      <c r="AQ1202" s="69"/>
      <c r="AR1202" s="69"/>
      <c r="AS1202" s="69"/>
      <c r="AT1202" s="69"/>
    </row>
    <row r="1203" spans="1:46" s="2" customFormat="1" ht="13.8" thickBot="1" x14ac:dyDescent="0.3">
      <c r="A1203" s="119"/>
      <c r="B1203" s="119"/>
      <c r="C1203" s="308"/>
      <c r="D1203" s="49"/>
      <c r="E1203" s="49"/>
      <c r="F1203" s="49"/>
      <c r="G1203" s="128" t="s">
        <v>907</v>
      </c>
      <c r="H1203" s="128"/>
      <c r="I1203" s="128"/>
      <c r="J1203" s="48"/>
      <c r="K1203" s="96"/>
      <c r="L1203" s="97"/>
      <c r="M1203" s="97"/>
      <c r="N1203" s="97"/>
      <c r="O1203" s="97"/>
      <c r="P1203" s="98"/>
      <c r="Q1203" s="98"/>
      <c r="R1203" s="98"/>
      <c r="S1203" s="383"/>
      <c r="T1203" s="98"/>
      <c r="U1203" s="48"/>
      <c r="V1203" s="48"/>
      <c r="W1203" s="48"/>
      <c r="X1203" s="48"/>
      <c r="Y1203" s="48"/>
      <c r="Z1203" s="48"/>
      <c r="AA1203" s="48"/>
      <c r="AB1203" s="48"/>
      <c r="AC1203" s="48"/>
      <c r="AD1203" s="48"/>
      <c r="AE1203" s="48"/>
      <c r="AF1203" s="48"/>
      <c r="AG1203" s="48"/>
      <c r="AH1203" s="48"/>
      <c r="AI1203" s="48"/>
      <c r="AJ1203" s="48"/>
      <c r="AK1203" s="48"/>
      <c r="AL1203" s="48"/>
      <c r="AM1203" s="48"/>
      <c r="AN1203" s="48"/>
      <c r="AO1203" s="48"/>
      <c r="AP1203" s="48"/>
      <c r="AQ1203" s="48"/>
      <c r="AR1203" s="48"/>
      <c r="AS1203" s="48"/>
      <c r="AT1203" s="48"/>
    </row>
    <row r="1204" spans="1:46" s="2" customFormat="1" x14ac:dyDescent="0.25">
      <c r="A1204" s="380" t="s">
        <v>101</v>
      </c>
      <c r="B1204" s="380" t="s">
        <v>96</v>
      </c>
      <c r="C1204" s="547"/>
      <c r="D1204" s="54" t="s">
        <v>3</v>
      </c>
      <c r="E1204" s="389">
        <v>43619</v>
      </c>
      <c r="F1204" s="386" t="s">
        <v>266</v>
      </c>
      <c r="G1204" s="320" t="s">
        <v>908</v>
      </c>
      <c r="H1204" s="320">
        <v>31122283</v>
      </c>
      <c r="I1204" s="320">
        <v>582008</v>
      </c>
      <c r="J1204" s="2" t="s">
        <v>1</v>
      </c>
      <c r="K1204" s="27">
        <v>115000</v>
      </c>
      <c r="L1204" s="4"/>
      <c r="M1204" s="4"/>
      <c r="N1204" s="4"/>
      <c r="O1204" s="4"/>
      <c r="P1204" s="283"/>
      <c r="Q1204" s="283"/>
      <c r="R1204" s="283"/>
      <c r="S1204" s="283"/>
      <c r="T1204" s="283">
        <v>15000</v>
      </c>
      <c r="U1204" s="283">
        <v>15000</v>
      </c>
      <c r="V1204" s="283">
        <v>15000</v>
      </c>
      <c r="W1204" s="283">
        <v>10000</v>
      </c>
      <c r="X1204" s="283">
        <v>10000</v>
      </c>
      <c r="Y1204" s="283">
        <v>10000</v>
      </c>
      <c r="Z1204" s="497">
        <v>10000</v>
      </c>
      <c r="AA1204" s="536">
        <v>10000</v>
      </c>
      <c r="AB1204" s="5">
        <v>10000</v>
      </c>
      <c r="AC1204" s="5">
        <v>10000</v>
      </c>
      <c r="AD1204" s="2" t="s">
        <v>11</v>
      </c>
      <c r="AE1204" s="5"/>
      <c r="AF1204" s="5"/>
      <c r="AG1204" s="5"/>
      <c r="AH1204" s="5"/>
      <c r="AI1204" s="5"/>
      <c r="AJ1204" s="5"/>
      <c r="AK1204" s="5"/>
      <c r="AL1204" s="5"/>
    </row>
    <row r="1205" spans="1:46" s="2" customFormat="1" x14ac:dyDescent="0.25">
      <c r="A1205" s="400" t="s">
        <v>1066</v>
      </c>
      <c r="B1205" s="26"/>
      <c r="C1205" s="306"/>
      <c r="D1205" s="54"/>
      <c r="E1205" s="387" t="s">
        <v>12</v>
      </c>
      <c r="F1205" s="35"/>
      <c r="G1205" s="35" t="s">
        <v>909</v>
      </c>
      <c r="H1205" s="35" t="s">
        <v>1105</v>
      </c>
      <c r="I1205" s="35"/>
      <c r="J1205" s="17" t="s">
        <v>2</v>
      </c>
      <c r="K1205" s="388">
        <v>23271.39</v>
      </c>
      <c r="L1205" s="11"/>
      <c r="M1205" s="11"/>
      <c r="N1205" s="11"/>
      <c r="O1205" s="11"/>
      <c r="P1205" s="142"/>
      <c r="Q1205" s="142"/>
      <c r="R1205" s="142"/>
      <c r="S1205" s="142"/>
      <c r="T1205" s="142">
        <f>2546.39+2575</f>
        <v>5121.3899999999994</v>
      </c>
      <c r="U1205" s="142">
        <f>2200+2200</f>
        <v>4400</v>
      </c>
      <c r="V1205" s="142">
        <f>1825+1825</f>
        <v>3650</v>
      </c>
      <c r="W1205" s="142">
        <f>1450+1450</f>
        <v>2900</v>
      </c>
      <c r="X1205" s="142">
        <f>1200+1200</f>
        <v>2400</v>
      </c>
      <c r="Y1205" s="142">
        <f>950+950</f>
        <v>1900</v>
      </c>
      <c r="Z1205" s="500">
        <f>700+700</f>
        <v>1400</v>
      </c>
      <c r="AA1205" s="539">
        <f>450+450</f>
        <v>900</v>
      </c>
      <c r="AB1205" s="21">
        <f>200+200</f>
        <v>400</v>
      </c>
      <c r="AC1205" s="21">
        <f>100+100</f>
        <v>200</v>
      </c>
      <c r="AD1205" s="17" t="s">
        <v>11</v>
      </c>
      <c r="AE1205" s="21"/>
      <c r="AF1205" s="21"/>
      <c r="AG1205" s="21"/>
      <c r="AH1205" s="21"/>
      <c r="AI1205" s="21"/>
      <c r="AJ1205" s="21"/>
      <c r="AK1205" s="21"/>
      <c r="AL1205" s="21"/>
      <c r="AM1205" s="17"/>
      <c r="AN1205" s="17"/>
      <c r="AO1205" s="17"/>
      <c r="AP1205" s="17"/>
      <c r="AQ1205" s="17"/>
      <c r="AR1205" s="17"/>
      <c r="AS1205" s="17"/>
      <c r="AT1205" s="17"/>
    </row>
    <row r="1206" spans="1:46" s="6" customFormat="1" ht="13.8" thickBot="1" x14ac:dyDescent="0.3">
      <c r="A1206" s="409" t="s">
        <v>1115</v>
      </c>
      <c r="B1206" s="120"/>
      <c r="C1206" s="307"/>
      <c r="D1206" s="85"/>
      <c r="E1206" s="390" t="s">
        <v>40</v>
      </c>
      <c r="F1206" s="391" t="s">
        <v>412</v>
      </c>
      <c r="G1206" s="141" t="s">
        <v>931</v>
      </c>
      <c r="H1206" s="141"/>
      <c r="I1206" s="125"/>
      <c r="J1206" s="392" t="s">
        <v>5</v>
      </c>
      <c r="K1206" s="393">
        <f>K1205+K1204</f>
        <v>138271.39000000001</v>
      </c>
      <c r="L1206" s="43"/>
      <c r="M1206" s="43"/>
      <c r="N1206" s="43"/>
      <c r="O1206" s="43"/>
      <c r="P1206" s="43"/>
      <c r="Q1206" s="43"/>
      <c r="R1206" s="43"/>
      <c r="S1206" s="43"/>
      <c r="T1206" s="43">
        <f t="shared" ref="T1206" si="950">T1205+T1204</f>
        <v>20121.39</v>
      </c>
      <c r="U1206" s="43">
        <f>U1205+U1204</f>
        <v>19400</v>
      </c>
      <c r="V1206" s="43">
        <f t="shared" ref="V1206:AA1206" si="951">V1205+V1204</f>
        <v>18650</v>
      </c>
      <c r="W1206" s="43">
        <f t="shared" si="951"/>
        <v>12900</v>
      </c>
      <c r="X1206" s="43">
        <f t="shared" si="951"/>
        <v>12400</v>
      </c>
      <c r="Y1206" s="43">
        <f t="shared" si="951"/>
        <v>11900</v>
      </c>
      <c r="Z1206" s="499">
        <f t="shared" si="951"/>
        <v>11400</v>
      </c>
      <c r="AA1206" s="538">
        <f t="shared" si="951"/>
        <v>10900</v>
      </c>
      <c r="AB1206" s="43">
        <f t="shared" ref="AB1206" si="952">AB1205+AB1204</f>
        <v>10400</v>
      </c>
      <c r="AC1206" s="43">
        <f t="shared" ref="AC1206" si="953">AC1205+AC1204</f>
        <v>10200</v>
      </c>
      <c r="AD1206" s="41" t="s">
        <v>11</v>
      </c>
      <c r="AE1206" s="43"/>
      <c r="AF1206" s="43"/>
      <c r="AG1206" s="43"/>
      <c r="AH1206" s="43"/>
      <c r="AI1206" s="43"/>
      <c r="AJ1206" s="43"/>
      <c r="AK1206" s="43"/>
      <c r="AL1206" s="43"/>
      <c r="AM1206" s="41"/>
      <c r="AN1206" s="41"/>
      <c r="AO1206" s="41"/>
      <c r="AP1206" s="41"/>
      <c r="AQ1206" s="41"/>
      <c r="AR1206" s="41"/>
      <c r="AS1206" s="41"/>
      <c r="AT1206" s="41"/>
    </row>
    <row r="1207" spans="1:46" s="2" customFormat="1" x14ac:dyDescent="0.25">
      <c r="A1207" s="26" t="s">
        <v>102</v>
      </c>
      <c r="B1207" s="26" t="s">
        <v>96</v>
      </c>
      <c r="C1207" s="306"/>
      <c r="D1207" s="54" t="s">
        <v>3</v>
      </c>
      <c r="E1207" s="389">
        <v>43619</v>
      </c>
      <c r="F1207" s="386" t="s">
        <v>266</v>
      </c>
      <c r="G1207" s="314" t="s">
        <v>681</v>
      </c>
      <c r="H1207" s="314">
        <v>31210282</v>
      </c>
      <c r="I1207" s="314">
        <v>585100</v>
      </c>
      <c r="J1207" s="2" t="s">
        <v>1</v>
      </c>
      <c r="K1207" s="27">
        <v>165000</v>
      </c>
      <c r="L1207" s="5"/>
      <c r="M1207" s="4"/>
      <c r="N1207" s="4"/>
      <c r="O1207" s="4"/>
      <c r="P1207" s="283"/>
      <c r="Q1207" s="283"/>
      <c r="R1207" s="283"/>
      <c r="S1207" s="283"/>
      <c r="T1207" s="283">
        <v>35000</v>
      </c>
      <c r="U1207" s="283">
        <v>35000</v>
      </c>
      <c r="V1207" s="283">
        <v>35000</v>
      </c>
      <c r="W1207" s="283">
        <v>30000</v>
      </c>
      <c r="X1207" s="283">
        <v>30000</v>
      </c>
      <c r="Y1207" s="2" t="s">
        <v>11</v>
      </c>
      <c r="Z1207" s="497"/>
      <c r="AA1207" s="536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</row>
    <row r="1208" spans="1:46" s="2" customFormat="1" x14ac:dyDescent="0.25">
      <c r="A1208" s="400" t="s">
        <v>1067</v>
      </c>
      <c r="B1208" s="26"/>
      <c r="C1208" s="306"/>
      <c r="D1208" s="54"/>
      <c r="E1208" s="394" t="s">
        <v>12</v>
      </c>
      <c r="F1208" s="35"/>
      <c r="G1208" s="35" t="s">
        <v>910</v>
      </c>
      <c r="H1208" s="146" t="s">
        <v>1106</v>
      </c>
      <c r="I1208" s="35"/>
      <c r="J1208" s="17" t="s">
        <v>2</v>
      </c>
      <c r="K1208" s="388">
        <v>23954.17</v>
      </c>
      <c r="L1208" s="21"/>
      <c r="M1208" s="11"/>
      <c r="N1208" s="11"/>
      <c r="O1208" s="11"/>
      <c r="P1208" s="142"/>
      <c r="Q1208" s="142"/>
      <c r="R1208" s="142"/>
      <c r="S1208" s="142"/>
      <c r="T1208" s="142">
        <f>4079.17+4125</f>
        <v>8204.17</v>
      </c>
      <c r="U1208" s="142">
        <f>3250+3250</f>
        <v>6500</v>
      </c>
      <c r="V1208" s="142">
        <f>2375+2375</f>
        <v>4750</v>
      </c>
      <c r="W1208" s="142">
        <f>1500+1500</f>
        <v>3000</v>
      </c>
      <c r="X1208" s="142">
        <f>750+750</f>
        <v>1500</v>
      </c>
      <c r="Y1208" s="17" t="s">
        <v>11</v>
      </c>
      <c r="Z1208" s="500"/>
      <c r="AA1208" s="539"/>
      <c r="AB1208" s="21"/>
      <c r="AC1208" s="21"/>
      <c r="AD1208" s="21"/>
      <c r="AE1208" s="21"/>
      <c r="AF1208" s="21"/>
      <c r="AG1208" s="21"/>
      <c r="AH1208" s="21"/>
      <c r="AI1208" s="21"/>
      <c r="AJ1208" s="21"/>
      <c r="AK1208" s="21"/>
      <c r="AL1208" s="21"/>
      <c r="AM1208" s="17"/>
      <c r="AN1208" s="17"/>
      <c r="AO1208" s="17"/>
      <c r="AP1208" s="17"/>
      <c r="AQ1208" s="17"/>
      <c r="AR1208" s="17"/>
      <c r="AS1208" s="17"/>
      <c r="AT1208" s="17"/>
    </row>
    <row r="1209" spans="1:46" s="6" customFormat="1" ht="13.8" thickBot="1" x14ac:dyDescent="0.3">
      <c r="A1209" s="409" t="s">
        <v>1115</v>
      </c>
      <c r="B1209" s="120"/>
      <c r="C1209" s="307"/>
      <c r="D1209" s="85"/>
      <c r="E1209" s="395" t="s">
        <v>160</v>
      </c>
      <c r="F1209" s="391" t="s">
        <v>409</v>
      </c>
      <c r="G1209" s="141" t="s">
        <v>932</v>
      </c>
      <c r="H1209" s="125"/>
      <c r="I1209" s="125"/>
      <c r="J1209" s="392" t="s">
        <v>5</v>
      </c>
      <c r="K1209" s="393">
        <f>K1208+K1207</f>
        <v>188954.16999999998</v>
      </c>
      <c r="L1209" s="43"/>
      <c r="M1209" s="43"/>
      <c r="N1209" s="43"/>
      <c r="O1209" s="43"/>
      <c r="P1209" s="43"/>
      <c r="Q1209" s="43"/>
      <c r="R1209" s="43"/>
      <c r="S1209" s="43"/>
      <c r="T1209" s="43">
        <f t="shared" ref="T1209" si="954">T1208+T1207</f>
        <v>43204.17</v>
      </c>
      <c r="U1209" s="43">
        <f>U1208+U1207</f>
        <v>41500</v>
      </c>
      <c r="V1209" s="43">
        <f t="shared" ref="V1209:X1209" si="955">V1208+V1207</f>
        <v>39750</v>
      </c>
      <c r="W1209" s="43">
        <f t="shared" si="955"/>
        <v>33000</v>
      </c>
      <c r="X1209" s="43">
        <f t="shared" si="955"/>
        <v>31500</v>
      </c>
      <c r="Y1209" s="41" t="s">
        <v>11</v>
      </c>
      <c r="Z1209" s="499"/>
      <c r="AA1209" s="538"/>
      <c r="AB1209" s="43"/>
      <c r="AC1209" s="43"/>
      <c r="AD1209" s="43"/>
      <c r="AE1209" s="43"/>
      <c r="AF1209" s="43"/>
      <c r="AG1209" s="43"/>
      <c r="AH1209" s="43"/>
      <c r="AI1209" s="43"/>
      <c r="AJ1209" s="43"/>
      <c r="AK1209" s="43"/>
      <c r="AL1209" s="43"/>
      <c r="AM1209" s="41"/>
      <c r="AN1209" s="41"/>
      <c r="AO1209" s="41"/>
      <c r="AP1209" s="41"/>
      <c r="AQ1209" s="41"/>
      <c r="AR1209" s="41"/>
      <c r="AS1209" s="41"/>
      <c r="AT1209" s="41"/>
    </row>
    <row r="1210" spans="1:46" s="2" customFormat="1" x14ac:dyDescent="0.25">
      <c r="A1210" s="26" t="s">
        <v>102</v>
      </c>
      <c r="B1210" s="26" t="s">
        <v>96</v>
      </c>
      <c r="C1210" s="306"/>
      <c r="D1210" s="54" t="s">
        <v>3</v>
      </c>
      <c r="E1210" s="389">
        <v>43619</v>
      </c>
      <c r="F1210" s="386" t="s">
        <v>266</v>
      </c>
      <c r="G1210" s="314" t="s">
        <v>357</v>
      </c>
      <c r="H1210" s="314">
        <v>31220282</v>
      </c>
      <c r="I1210" s="314">
        <v>587007</v>
      </c>
      <c r="J1210" s="2" t="s">
        <v>1</v>
      </c>
      <c r="K1210" s="27">
        <v>50000</v>
      </c>
      <c r="L1210" s="4"/>
      <c r="M1210" s="4"/>
      <c r="N1210" s="4"/>
      <c r="O1210" s="4"/>
      <c r="P1210" s="283"/>
      <c r="Q1210" s="283"/>
      <c r="R1210" s="283"/>
      <c r="S1210" s="283"/>
      <c r="T1210" s="283">
        <v>10000</v>
      </c>
      <c r="U1210" s="283">
        <v>10000</v>
      </c>
      <c r="V1210" s="283">
        <v>10000</v>
      </c>
      <c r="W1210" s="283">
        <v>10000</v>
      </c>
      <c r="X1210" s="283">
        <v>10000</v>
      </c>
      <c r="Y1210" s="2" t="s">
        <v>11</v>
      </c>
      <c r="Z1210" s="497"/>
      <c r="AA1210" s="536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</row>
    <row r="1211" spans="1:46" s="2" customFormat="1" x14ac:dyDescent="0.25">
      <c r="A1211" s="400" t="s">
        <v>1068</v>
      </c>
      <c r="B1211" s="26"/>
      <c r="C1211" s="306"/>
      <c r="D1211" s="54"/>
      <c r="E1211" s="387" t="s">
        <v>12</v>
      </c>
      <c r="F1211" s="35"/>
      <c r="G1211" s="35" t="s">
        <v>911</v>
      </c>
      <c r="H1211" s="146" t="s">
        <v>1106</v>
      </c>
      <c r="I1211" s="35"/>
      <c r="J1211" s="17" t="s">
        <v>2</v>
      </c>
      <c r="K1211" s="388">
        <v>7486.11</v>
      </c>
      <c r="L1211" s="11"/>
      <c r="M1211" s="11"/>
      <c r="N1211" s="11"/>
      <c r="O1211" s="11"/>
      <c r="P1211" s="142"/>
      <c r="Q1211" s="142"/>
      <c r="R1211" s="142"/>
      <c r="S1211" s="142"/>
      <c r="T1211" s="142">
        <f>1236.11+1250</f>
        <v>2486.1099999999997</v>
      </c>
      <c r="U1211" s="142">
        <f>1000+1000</f>
        <v>2000</v>
      </c>
      <c r="V1211" s="142">
        <f>750+750</f>
        <v>1500</v>
      </c>
      <c r="W1211" s="142">
        <f>500+500</f>
        <v>1000</v>
      </c>
      <c r="X1211" s="142">
        <f>250+250</f>
        <v>500</v>
      </c>
      <c r="Y1211" s="17" t="s">
        <v>11</v>
      </c>
      <c r="Z1211" s="500"/>
      <c r="AA1211" s="539"/>
      <c r="AB1211" s="21"/>
      <c r="AC1211" s="21"/>
      <c r="AD1211" s="21"/>
      <c r="AE1211" s="21"/>
      <c r="AF1211" s="21"/>
      <c r="AG1211" s="21"/>
      <c r="AH1211" s="21"/>
      <c r="AI1211" s="21"/>
      <c r="AJ1211" s="21"/>
      <c r="AK1211" s="21"/>
      <c r="AL1211" s="21"/>
      <c r="AM1211" s="17"/>
      <c r="AN1211" s="17"/>
      <c r="AO1211" s="17"/>
      <c r="AP1211" s="17"/>
      <c r="AQ1211" s="17"/>
      <c r="AR1211" s="17"/>
      <c r="AS1211" s="17"/>
      <c r="AT1211" s="17"/>
    </row>
    <row r="1212" spans="1:46" s="6" customFormat="1" ht="13.8" thickBot="1" x14ac:dyDescent="0.3">
      <c r="A1212" s="409" t="s">
        <v>1115</v>
      </c>
      <c r="B1212" s="120"/>
      <c r="C1212" s="307"/>
      <c r="D1212" s="85"/>
      <c r="E1212" s="390" t="s">
        <v>160</v>
      </c>
      <c r="F1212" s="391" t="s">
        <v>409</v>
      </c>
      <c r="G1212" s="125"/>
      <c r="H1212" s="141"/>
      <c r="I1212" s="125"/>
      <c r="J1212" s="392" t="s">
        <v>5</v>
      </c>
      <c r="K1212" s="393">
        <f>K1211+K1210</f>
        <v>57486.11</v>
      </c>
      <c r="L1212" s="43"/>
      <c r="M1212" s="43"/>
      <c r="N1212" s="43"/>
      <c r="O1212" s="43"/>
      <c r="P1212" s="43"/>
      <c r="Q1212" s="43"/>
      <c r="R1212" s="43"/>
      <c r="S1212" s="43"/>
      <c r="T1212" s="43">
        <f t="shared" ref="T1212" si="956">T1211+T1210</f>
        <v>12486.11</v>
      </c>
      <c r="U1212" s="43">
        <f>U1211+U1210</f>
        <v>12000</v>
      </c>
      <c r="V1212" s="43">
        <f t="shared" ref="V1212:X1212" si="957">V1211+V1210</f>
        <v>11500</v>
      </c>
      <c r="W1212" s="43">
        <f t="shared" si="957"/>
        <v>11000</v>
      </c>
      <c r="X1212" s="43">
        <f t="shared" si="957"/>
        <v>10500</v>
      </c>
      <c r="Y1212" s="41" t="s">
        <v>11</v>
      </c>
      <c r="Z1212" s="499"/>
      <c r="AA1212" s="538"/>
      <c r="AB1212" s="43"/>
      <c r="AC1212" s="43"/>
      <c r="AD1212" s="43"/>
      <c r="AE1212" s="43"/>
      <c r="AF1212" s="43"/>
      <c r="AG1212" s="43"/>
      <c r="AH1212" s="43"/>
      <c r="AI1212" s="43"/>
      <c r="AJ1212" s="43"/>
      <c r="AK1212" s="43"/>
      <c r="AL1212" s="43"/>
      <c r="AM1212" s="41"/>
      <c r="AN1212" s="41"/>
      <c r="AO1212" s="41"/>
      <c r="AP1212" s="41"/>
      <c r="AQ1212" s="41"/>
      <c r="AR1212" s="41"/>
      <c r="AS1212" s="41"/>
      <c r="AT1212" s="41"/>
    </row>
    <row r="1213" spans="1:46" s="2" customFormat="1" x14ac:dyDescent="0.25">
      <c r="A1213" s="26" t="s">
        <v>98</v>
      </c>
      <c r="B1213" s="26" t="s">
        <v>96</v>
      </c>
      <c r="C1213" s="306"/>
      <c r="D1213" s="54" t="s">
        <v>3</v>
      </c>
      <c r="E1213" s="389">
        <v>43619</v>
      </c>
      <c r="F1213" s="386" t="s">
        <v>258</v>
      </c>
      <c r="G1213" s="323" t="s">
        <v>129</v>
      </c>
      <c r="H1213" s="323">
        <v>31300282</v>
      </c>
      <c r="I1213" s="323">
        <v>585002</v>
      </c>
      <c r="J1213" s="2" t="s">
        <v>1</v>
      </c>
      <c r="K1213" s="27">
        <v>370000</v>
      </c>
      <c r="L1213" s="4"/>
      <c r="M1213" s="4"/>
      <c r="N1213" s="4"/>
      <c r="O1213" s="4"/>
      <c r="P1213" s="283"/>
      <c r="Q1213" s="283"/>
      <c r="R1213" s="283"/>
      <c r="S1213" s="283"/>
      <c r="T1213" s="283">
        <v>75000</v>
      </c>
      <c r="U1213" s="283">
        <v>75000</v>
      </c>
      <c r="V1213" s="283">
        <v>75000</v>
      </c>
      <c r="W1213" s="283">
        <v>75000</v>
      </c>
      <c r="X1213" s="283">
        <v>70000</v>
      </c>
      <c r="Y1213" s="2" t="s">
        <v>11</v>
      </c>
      <c r="Z1213" s="497"/>
      <c r="AA1213" s="536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</row>
    <row r="1214" spans="1:46" s="2" customFormat="1" x14ac:dyDescent="0.25">
      <c r="A1214" s="400" t="s">
        <v>1069</v>
      </c>
      <c r="B1214" s="26"/>
      <c r="C1214" s="306"/>
      <c r="D1214" s="54"/>
      <c r="E1214" s="387" t="s">
        <v>12</v>
      </c>
      <c r="F1214" s="35"/>
      <c r="G1214" s="35" t="s">
        <v>912</v>
      </c>
      <c r="H1214" s="146" t="s">
        <v>1106</v>
      </c>
      <c r="I1214" s="35"/>
      <c r="J1214" s="17" t="s">
        <v>2</v>
      </c>
      <c r="K1214" s="388">
        <v>54897.22</v>
      </c>
      <c r="L1214" s="11"/>
      <c r="M1214" s="11"/>
      <c r="N1214" s="11"/>
      <c r="O1214" s="11"/>
      <c r="P1214" s="142"/>
      <c r="Q1214" s="142"/>
      <c r="R1214" s="142"/>
      <c r="S1214" s="142"/>
      <c r="T1214" s="142">
        <f>9147.22+9250</f>
        <v>18397.22</v>
      </c>
      <c r="U1214" s="142">
        <f>7375+7375</f>
        <v>14750</v>
      </c>
      <c r="V1214" s="142">
        <f>5500+5500</f>
        <v>11000</v>
      </c>
      <c r="W1214" s="142">
        <f>3625+3625</f>
        <v>7250</v>
      </c>
      <c r="X1214" s="142">
        <f>1750+1750</f>
        <v>3500</v>
      </c>
      <c r="Y1214" s="17" t="s">
        <v>11</v>
      </c>
      <c r="Z1214" s="500"/>
      <c r="AA1214" s="539"/>
      <c r="AB1214" s="21"/>
      <c r="AC1214" s="21"/>
      <c r="AD1214" s="21"/>
      <c r="AE1214" s="21"/>
      <c r="AF1214" s="21"/>
      <c r="AG1214" s="21"/>
      <c r="AH1214" s="21"/>
      <c r="AI1214" s="21"/>
      <c r="AJ1214" s="21"/>
      <c r="AK1214" s="21"/>
      <c r="AL1214" s="21"/>
      <c r="AM1214" s="17"/>
      <c r="AN1214" s="17"/>
      <c r="AO1214" s="17"/>
      <c r="AP1214" s="17"/>
      <c r="AQ1214" s="17"/>
      <c r="AR1214" s="17"/>
      <c r="AS1214" s="17"/>
      <c r="AT1214" s="17"/>
    </row>
    <row r="1215" spans="1:46" s="6" customFormat="1" ht="13.8" thickBot="1" x14ac:dyDescent="0.3">
      <c r="A1215" s="409" t="s">
        <v>1115</v>
      </c>
      <c r="B1215" s="120"/>
      <c r="C1215" s="307"/>
      <c r="D1215" s="85"/>
      <c r="E1215" s="390" t="s">
        <v>17</v>
      </c>
      <c r="F1215" s="391" t="s">
        <v>408</v>
      </c>
      <c r="G1215" s="141" t="s">
        <v>933</v>
      </c>
      <c r="H1215" s="141"/>
      <c r="I1215" s="125"/>
      <c r="J1215" s="392" t="s">
        <v>5</v>
      </c>
      <c r="K1215" s="393">
        <f>K1214+K1213</f>
        <v>424897.22</v>
      </c>
      <c r="L1215" s="43"/>
      <c r="M1215" s="43"/>
      <c r="N1215" s="43"/>
      <c r="O1215" s="43"/>
      <c r="P1215" s="43"/>
      <c r="Q1215" s="43"/>
      <c r="R1215" s="43"/>
      <c r="S1215" s="43"/>
      <c r="T1215" s="43">
        <f t="shared" ref="T1215" si="958">T1214+T1213</f>
        <v>93397.22</v>
      </c>
      <c r="U1215" s="43">
        <f>U1214+U1213</f>
        <v>89750</v>
      </c>
      <c r="V1215" s="43">
        <f t="shared" ref="V1215:X1215" si="959">V1214+V1213</f>
        <v>86000</v>
      </c>
      <c r="W1215" s="43">
        <f t="shared" si="959"/>
        <v>82250</v>
      </c>
      <c r="X1215" s="43">
        <f t="shared" si="959"/>
        <v>73500</v>
      </c>
      <c r="Y1215" s="41" t="s">
        <v>11</v>
      </c>
      <c r="Z1215" s="499"/>
      <c r="AA1215" s="538"/>
      <c r="AB1215" s="43"/>
      <c r="AC1215" s="43"/>
      <c r="AD1215" s="43"/>
      <c r="AE1215" s="43"/>
      <c r="AF1215" s="43"/>
      <c r="AG1215" s="43"/>
      <c r="AH1215" s="43"/>
      <c r="AI1215" s="43"/>
      <c r="AJ1215" s="43"/>
      <c r="AK1215" s="43"/>
      <c r="AL1215" s="43"/>
      <c r="AM1215" s="41"/>
      <c r="AN1215" s="41"/>
      <c r="AO1215" s="41"/>
      <c r="AP1215" s="41"/>
      <c r="AQ1215" s="41"/>
      <c r="AR1215" s="41"/>
      <c r="AS1215" s="41"/>
      <c r="AT1215" s="41"/>
    </row>
    <row r="1216" spans="1:46" s="2" customFormat="1" x14ac:dyDescent="0.25">
      <c r="A1216" s="26" t="s">
        <v>98</v>
      </c>
      <c r="B1216" s="26" t="s">
        <v>96</v>
      </c>
      <c r="C1216" s="306"/>
      <c r="D1216" s="54" t="s">
        <v>3</v>
      </c>
      <c r="E1216" s="389">
        <v>43619</v>
      </c>
      <c r="F1216" s="386" t="s">
        <v>266</v>
      </c>
      <c r="G1216" s="323" t="s">
        <v>829</v>
      </c>
      <c r="H1216" s="323">
        <v>31300282</v>
      </c>
      <c r="I1216" s="323">
        <v>585106</v>
      </c>
      <c r="J1216" s="2" t="s">
        <v>1</v>
      </c>
      <c r="K1216" s="27">
        <v>95000</v>
      </c>
      <c r="L1216" s="5"/>
      <c r="M1216" s="4"/>
      <c r="N1216" s="4"/>
      <c r="O1216" s="4"/>
      <c r="P1216" s="283"/>
      <c r="Q1216" s="283"/>
      <c r="R1216" s="283"/>
      <c r="S1216" s="283"/>
      <c r="T1216" s="283">
        <v>20000</v>
      </c>
      <c r="U1216" s="283">
        <v>20000</v>
      </c>
      <c r="V1216" s="283">
        <v>20000</v>
      </c>
      <c r="W1216" s="283">
        <v>20000</v>
      </c>
      <c r="X1216" s="283">
        <v>15000</v>
      </c>
      <c r="Y1216" s="2" t="s">
        <v>11</v>
      </c>
      <c r="Z1216" s="497"/>
      <c r="AA1216" s="536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</row>
    <row r="1217" spans="1:46" s="2" customFormat="1" x14ac:dyDescent="0.25">
      <c r="A1217" s="400" t="s">
        <v>1070</v>
      </c>
      <c r="B1217" s="26"/>
      <c r="C1217" s="306"/>
      <c r="D1217" s="54"/>
      <c r="E1217" s="387" t="s">
        <v>12</v>
      </c>
      <c r="F1217" s="35"/>
      <c r="G1217" s="35" t="s">
        <v>913</v>
      </c>
      <c r="H1217" s="146" t="s">
        <v>1106</v>
      </c>
      <c r="I1217" s="35"/>
      <c r="J1217" s="17" t="s">
        <v>2</v>
      </c>
      <c r="K1217" s="388">
        <v>13723.61</v>
      </c>
      <c r="L1217" s="21"/>
      <c r="M1217" s="11"/>
      <c r="N1217" s="11"/>
      <c r="O1217" s="11"/>
      <c r="P1217" s="142"/>
      <c r="Q1217" s="142"/>
      <c r="R1217" s="142"/>
      <c r="S1217" s="142"/>
      <c r="T1217" s="142">
        <f>2348.61+2375</f>
        <v>4723.6100000000006</v>
      </c>
      <c r="U1217" s="142">
        <f>1875+1875</f>
        <v>3750</v>
      </c>
      <c r="V1217" s="142">
        <f>1375+1375</f>
        <v>2750</v>
      </c>
      <c r="W1217" s="142">
        <f>875+875</f>
        <v>1750</v>
      </c>
      <c r="X1217" s="142">
        <f>375+375</f>
        <v>750</v>
      </c>
      <c r="Y1217" s="17" t="s">
        <v>11</v>
      </c>
      <c r="Z1217" s="500"/>
      <c r="AA1217" s="539"/>
      <c r="AB1217" s="21"/>
      <c r="AC1217" s="21"/>
      <c r="AD1217" s="21"/>
      <c r="AE1217" s="21"/>
      <c r="AF1217" s="21"/>
      <c r="AG1217" s="21"/>
      <c r="AH1217" s="21"/>
      <c r="AI1217" s="21"/>
      <c r="AJ1217" s="21"/>
      <c r="AK1217" s="21"/>
      <c r="AL1217" s="21"/>
      <c r="AM1217" s="17"/>
      <c r="AN1217" s="17"/>
      <c r="AO1217" s="17"/>
      <c r="AP1217" s="17"/>
      <c r="AQ1217" s="17"/>
      <c r="AR1217" s="17"/>
      <c r="AS1217" s="17"/>
      <c r="AT1217" s="17"/>
    </row>
    <row r="1218" spans="1:46" s="6" customFormat="1" ht="13.8" thickBot="1" x14ac:dyDescent="0.3">
      <c r="A1218" s="409" t="s">
        <v>1115</v>
      </c>
      <c r="B1218" s="120"/>
      <c r="C1218" s="307"/>
      <c r="D1218" s="85"/>
      <c r="E1218" s="390" t="s">
        <v>17</v>
      </c>
      <c r="F1218" s="391" t="s">
        <v>408</v>
      </c>
      <c r="G1218" s="141" t="s">
        <v>934</v>
      </c>
      <c r="H1218" s="141"/>
      <c r="I1218" s="125"/>
      <c r="J1218" s="392" t="s">
        <v>5</v>
      </c>
      <c r="K1218" s="393">
        <f>K1217+K1216</f>
        <v>108723.61</v>
      </c>
      <c r="L1218" s="43"/>
      <c r="M1218" s="43"/>
      <c r="N1218" s="43"/>
      <c r="O1218" s="43"/>
      <c r="P1218" s="43"/>
      <c r="Q1218" s="43"/>
      <c r="R1218" s="43"/>
      <c r="S1218" s="43"/>
      <c r="T1218" s="43">
        <f t="shared" ref="T1218" si="960">T1217+T1216</f>
        <v>24723.61</v>
      </c>
      <c r="U1218" s="43">
        <f>U1217+U1216</f>
        <v>23750</v>
      </c>
      <c r="V1218" s="43">
        <f t="shared" ref="V1218" si="961">V1217+V1216</f>
        <v>22750</v>
      </c>
      <c r="W1218" s="43">
        <f t="shared" ref="W1218" si="962">W1217+W1216</f>
        <v>21750</v>
      </c>
      <c r="X1218" s="43">
        <f t="shared" ref="X1218" si="963">X1217+X1216</f>
        <v>15750</v>
      </c>
      <c r="Y1218" s="41" t="s">
        <v>11</v>
      </c>
      <c r="Z1218" s="499"/>
      <c r="AA1218" s="538"/>
      <c r="AB1218" s="43"/>
      <c r="AC1218" s="43"/>
      <c r="AD1218" s="43"/>
      <c r="AE1218" s="43"/>
      <c r="AF1218" s="43"/>
      <c r="AG1218" s="43"/>
      <c r="AH1218" s="43"/>
      <c r="AI1218" s="43"/>
      <c r="AJ1218" s="43"/>
      <c r="AK1218" s="43"/>
      <c r="AL1218" s="43"/>
      <c r="AM1218" s="41"/>
      <c r="AN1218" s="41"/>
      <c r="AO1218" s="41"/>
      <c r="AP1218" s="41"/>
      <c r="AQ1218" s="41"/>
      <c r="AR1218" s="41"/>
      <c r="AS1218" s="41"/>
      <c r="AT1218" s="41"/>
    </row>
    <row r="1219" spans="1:46" s="2" customFormat="1" x14ac:dyDescent="0.25">
      <c r="A1219" s="26" t="s">
        <v>98</v>
      </c>
      <c r="B1219" s="26" t="s">
        <v>96</v>
      </c>
      <c r="C1219" s="306"/>
      <c r="D1219" s="54" t="s">
        <v>3</v>
      </c>
      <c r="E1219" s="389">
        <v>43619</v>
      </c>
      <c r="F1219" s="386" t="s">
        <v>266</v>
      </c>
      <c r="G1219" s="323" t="s">
        <v>914</v>
      </c>
      <c r="H1219" s="323">
        <v>31300282</v>
      </c>
      <c r="I1219" s="323">
        <v>585112</v>
      </c>
      <c r="J1219" s="2" t="s">
        <v>1</v>
      </c>
      <c r="K1219" s="27">
        <v>55000</v>
      </c>
      <c r="L1219" s="4"/>
      <c r="M1219" s="4"/>
      <c r="N1219" s="4"/>
      <c r="O1219" s="4"/>
      <c r="P1219" s="283"/>
      <c r="Q1219" s="283"/>
      <c r="R1219" s="283"/>
      <c r="S1219" s="283"/>
      <c r="T1219" s="283">
        <v>15000</v>
      </c>
      <c r="U1219" s="283">
        <v>10000</v>
      </c>
      <c r="V1219" s="283">
        <v>10000</v>
      </c>
      <c r="W1219" s="283">
        <v>10000</v>
      </c>
      <c r="X1219" s="283">
        <v>10000</v>
      </c>
      <c r="Y1219" s="2" t="s">
        <v>11</v>
      </c>
      <c r="Z1219" s="497"/>
      <c r="AA1219" s="536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</row>
    <row r="1220" spans="1:46" s="2" customFormat="1" x14ac:dyDescent="0.25">
      <c r="A1220" s="400" t="s">
        <v>1071</v>
      </c>
      <c r="B1220" s="26"/>
      <c r="C1220" s="306"/>
      <c r="D1220" s="54"/>
      <c r="E1220" s="387" t="s">
        <v>12</v>
      </c>
      <c r="F1220" s="35"/>
      <c r="G1220" s="35" t="s">
        <v>915</v>
      </c>
      <c r="H1220" s="146" t="s">
        <v>1106</v>
      </c>
      <c r="I1220" s="35"/>
      <c r="J1220" s="17" t="s">
        <v>2</v>
      </c>
      <c r="K1220" s="388">
        <v>7734.72</v>
      </c>
      <c r="L1220" s="11"/>
      <c r="M1220" s="11"/>
      <c r="N1220" s="11"/>
      <c r="O1220" s="11"/>
      <c r="P1220" s="142"/>
      <c r="Q1220" s="142"/>
      <c r="R1220" s="142"/>
      <c r="S1220" s="142"/>
      <c r="T1220" s="142">
        <f>1359.72+1375</f>
        <v>2734.7200000000003</v>
      </c>
      <c r="U1220" s="142">
        <f>1000+1000</f>
        <v>2000</v>
      </c>
      <c r="V1220" s="142">
        <f>750+750</f>
        <v>1500</v>
      </c>
      <c r="W1220" s="142">
        <f>500+500</f>
        <v>1000</v>
      </c>
      <c r="X1220" s="142">
        <f>250+250</f>
        <v>500</v>
      </c>
      <c r="Y1220" s="17" t="s">
        <v>11</v>
      </c>
      <c r="Z1220" s="500"/>
      <c r="AA1220" s="539"/>
      <c r="AB1220" s="21"/>
      <c r="AC1220" s="21"/>
      <c r="AD1220" s="21"/>
      <c r="AE1220" s="21"/>
      <c r="AF1220" s="21"/>
      <c r="AG1220" s="21"/>
      <c r="AH1220" s="21"/>
      <c r="AI1220" s="21"/>
      <c r="AJ1220" s="21"/>
      <c r="AK1220" s="21"/>
      <c r="AL1220" s="21"/>
      <c r="AM1220" s="17"/>
      <c r="AN1220" s="17"/>
      <c r="AO1220" s="17"/>
      <c r="AP1220" s="17"/>
      <c r="AQ1220" s="17"/>
      <c r="AR1220" s="17"/>
      <c r="AS1220" s="17"/>
      <c r="AT1220" s="17"/>
    </row>
    <row r="1221" spans="1:46" s="6" customFormat="1" ht="13.8" thickBot="1" x14ac:dyDescent="0.3">
      <c r="A1221" s="409" t="s">
        <v>1115</v>
      </c>
      <c r="B1221" s="120"/>
      <c r="C1221" s="307"/>
      <c r="D1221" s="85"/>
      <c r="E1221" s="390" t="s">
        <v>17</v>
      </c>
      <c r="F1221" s="391" t="s">
        <v>408</v>
      </c>
      <c r="G1221" s="125"/>
      <c r="H1221" s="141"/>
      <c r="I1221" s="125"/>
      <c r="J1221" s="392" t="s">
        <v>5</v>
      </c>
      <c r="K1221" s="393">
        <f>K1220+K1219</f>
        <v>62734.720000000001</v>
      </c>
      <c r="L1221" s="43"/>
      <c r="M1221" s="43"/>
      <c r="N1221" s="43"/>
      <c r="O1221" s="43"/>
      <c r="P1221" s="43"/>
      <c r="Q1221" s="43"/>
      <c r="R1221" s="43"/>
      <c r="S1221" s="43"/>
      <c r="T1221" s="43">
        <f t="shared" ref="T1221" si="964">T1220+T1219</f>
        <v>17734.72</v>
      </c>
      <c r="U1221" s="43">
        <f>U1220+U1219</f>
        <v>12000</v>
      </c>
      <c r="V1221" s="43">
        <f t="shared" ref="V1221" si="965">V1220+V1219</f>
        <v>11500</v>
      </c>
      <c r="W1221" s="43">
        <f t="shared" ref="W1221" si="966">W1220+W1219</f>
        <v>11000</v>
      </c>
      <c r="X1221" s="43">
        <f t="shared" ref="X1221" si="967">X1220+X1219</f>
        <v>10500</v>
      </c>
      <c r="Y1221" s="41" t="s">
        <v>11</v>
      </c>
      <c r="Z1221" s="499"/>
      <c r="AA1221" s="538"/>
      <c r="AB1221" s="43"/>
      <c r="AC1221" s="43"/>
      <c r="AD1221" s="43"/>
      <c r="AE1221" s="43"/>
      <c r="AF1221" s="43"/>
      <c r="AG1221" s="43"/>
      <c r="AH1221" s="43"/>
      <c r="AI1221" s="43"/>
      <c r="AJ1221" s="43"/>
      <c r="AK1221" s="43"/>
      <c r="AL1221" s="43"/>
      <c r="AM1221" s="41"/>
      <c r="AN1221" s="41"/>
      <c r="AO1221" s="41"/>
      <c r="AP1221" s="41"/>
      <c r="AQ1221" s="41"/>
      <c r="AR1221" s="41"/>
      <c r="AS1221" s="41"/>
      <c r="AT1221" s="41"/>
    </row>
    <row r="1222" spans="1:46" s="2" customFormat="1" x14ac:dyDescent="0.25">
      <c r="A1222" s="26" t="s">
        <v>98</v>
      </c>
      <c r="B1222" s="26" t="s">
        <v>96</v>
      </c>
      <c r="C1222" s="306"/>
      <c r="D1222" s="54" t="s">
        <v>3</v>
      </c>
      <c r="E1222" s="389">
        <v>43619</v>
      </c>
      <c r="F1222" s="386" t="s">
        <v>266</v>
      </c>
      <c r="G1222" s="323" t="s">
        <v>916</v>
      </c>
      <c r="H1222" s="323">
        <v>31300282</v>
      </c>
      <c r="I1222" s="323">
        <v>585001</v>
      </c>
      <c r="J1222" s="2" t="s">
        <v>1</v>
      </c>
      <c r="K1222" s="27">
        <v>60000</v>
      </c>
      <c r="L1222" s="4"/>
      <c r="M1222" s="4"/>
      <c r="N1222" s="4"/>
      <c r="O1222" s="4"/>
      <c r="P1222" s="283"/>
      <c r="Q1222" s="283"/>
      <c r="R1222" s="283"/>
      <c r="S1222" s="283"/>
      <c r="T1222" s="283">
        <v>15000</v>
      </c>
      <c r="U1222" s="283">
        <v>15000</v>
      </c>
      <c r="V1222" s="283">
        <v>10000</v>
      </c>
      <c r="W1222" s="283">
        <v>10000</v>
      </c>
      <c r="X1222" s="283">
        <v>10000</v>
      </c>
      <c r="Y1222" s="2" t="s">
        <v>11</v>
      </c>
      <c r="Z1222" s="497"/>
      <c r="AA1222" s="536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</row>
    <row r="1223" spans="1:46" s="2" customFormat="1" x14ac:dyDescent="0.25">
      <c r="A1223" s="400" t="s">
        <v>1072</v>
      </c>
      <c r="B1223" s="26"/>
      <c r="C1223" s="306"/>
      <c r="D1223" s="54"/>
      <c r="E1223" s="387" t="s">
        <v>12</v>
      </c>
      <c r="F1223" s="35"/>
      <c r="G1223" s="35" t="s">
        <v>917</v>
      </c>
      <c r="H1223" s="146" t="s">
        <v>1106</v>
      </c>
      <c r="I1223" s="35"/>
      <c r="J1223" s="17" t="s">
        <v>2</v>
      </c>
      <c r="K1223" s="388">
        <v>8233.33</v>
      </c>
      <c r="L1223" s="11"/>
      <c r="M1223" s="11"/>
      <c r="N1223" s="11"/>
      <c r="O1223" s="11"/>
      <c r="P1223" s="142"/>
      <c r="Q1223" s="142"/>
      <c r="R1223" s="142"/>
      <c r="S1223" s="142"/>
      <c r="T1223" s="142">
        <f>1483.33+1500</f>
        <v>2983.33</v>
      </c>
      <c r="U1223" s="142">
        <f>1125+1125</f>
        <v>2250</v>
      </c>
      <c r="V1223" s="142">
        <f>750+750</f>
        <v>1500</v>
      </c>
      <c r="W1223" s="142">
        <f>500+500</f>
        <v>1000</v>
      </c>
      <c r="X1223" s="142">
        <f>250+250</f>
        <v>500</v>
      </c>
      <c r="Y1223" s="17" t="s">
        <v>11</v>
      </c>
      <c r="Z1223" s="500"/>
      <c r="AA1223" s="539"/>
      <c r="AB1223" s="21"/>
      <c r="AC1223" s="21"/>
      <c r="AD1223" s="21"/>
      <c r="AE1223" s="21"/>
      <c r="AF1223" s="21"/>
      <c r="AG1223" s="21"/>
      <c r="AH1223" s="21"/>
      <c r="AI1223" s="21"/>
      <c r="AJ1223" s="21"/>
      <c r="AK1223" s="21"/>
      <c r="AL1223" s="21"/>
      <c r="AM1223" s="17"/>
      <c r="AN1223" s="17"/>
      <c r="AO1223" s="17"/>
      <c r="AP1223" s="17"/>
      <c r="AQ1223" s="17"/>
      <c r="AR1223" s="17"/>
      <c r="AS1223" s="17"/>
      <c r="AT1223" s="17"/>
    </row>
    <row r="1224" spans="1:46" s="6" customFormat="1" ht="13.8" thickBot="1" x14ac:dyDescent="0.3">
      <c r="A1224" s="409" t="s">
        <v>1115</v>
      </c>
      <c r="B1224" s="120"/>
      <c r="C1224" s="307"/>
      <c r="D1224" s="85"/>
      <c r="E1224" s="390" t="s">
        <v>17</v>
      </c>
      <c r="F1224" s="391" t="s">
        <v>408</v>
      </c>
      <c r="G1224" s="125"/>
      <c r="H1224" s="141"/>
      <c r="I1224" s="125"/>
      <c r="J1224" s="392" t="s">
        <v>5</v>
      </c>
      <c r="K1224" s="393">
        <f>K1223+K1222</f>
        <v>68233.33</v>
      </c>
      <c r="L1224" s="43"/>
      <c r="M1224" s="43"/>
      <c r="N1224" s="43"/>
      <c r="O1224" s="43"/>
      <c r="P1224" s="43"/>
      <c r="Q1224" s="43"/>
      <c r="R1224" s="43"/>
      <c r="S1224" s="43"/>
      <c r="T1224" s="43">
        <f t="shared" ref="T1224" si="968">T1223+T1222</f>
        <v>17983.330000000002</v>
      </c>
      <c r="U1224" s="43">
        <f>U1223+U1222</f>
        <v>17250</v>
      </c>
      <c r="V1224" s="43">
        <f t="shared" ref="V1224" si="969">V1223+V1222</f>
        <v>11500</v>
      </c>
      <c r="W1224" s="43">
        <f t="shared" ref="W1224" si="970">W1223+W1222</f>
        <v>11000</v>
      </c>
      <c r="X1224" s="43">
        <f t="shared" ref="X1224" si="971">X1223+X1222</f>
        <v>10500</v>
      </c>
      <c r="Y1224" s="41" t="s">
        <v>11</v>
      </c>
      <c r="Z1224" s="499"/>
      <c r="AA1224" s="538"/>
      <c r="AB1224" s="43"/>
      <c r="AC1224" s="43"/>
      <c r="AD1224" s="43"/>
      <c r="AE1224" s="43"/>
      <c r="AF1224" s="43"/>
      <c r="AG1224" s="43"/>
      <c r="AH1224" s="43"/>
      <c r="AI1224" s="43"/>
      <c r="AJ1224" s="43"/>
      <c r="AK1224" s="43"/>
      <c r="AL1224" s="43"/>
      <c r="AM1224" s="41"/>
      <c r="AN1224" s="41"/>
      <c r="AO1224" s="41"/>
      <c r="AP1224" s="41"/>
      <c r="AQ1224" s="41"/>
      <c r="AR1224" s="41"/>
      <c r="AS1224" s="41"/>
      <c r="AT1224" s="41"/>
    </row>
    <row r="1225" spans="1:46" s="2" customFormat="1" x14ac:dyDescent="0.25">
      <c r="A1225" s="26" t="s">
        <v>99</v>
      </c>
      <c r="B1225" s="26" t="s">
        <v>96</v>
      </c>
      <c r="C1225" s="306"/>
      <c r="D1225" s="54" t="s">
        <v>3</v>
      </c>
      <c r="E1225" s="389">
        <v>43619</v>
      </c>
      <c r="F1225" s="386" t="s">
        <v>266</v>
      </c>
      <c r="G1225" s="313" t="s">
        <v>457</v>
      </c>
      <c r="H1225" s="313">
        <v>31422282</v>
      </c>
      <c r="I1225" s="313">
        <v>586200</v>
      </c>
      <c r="J1225" s="2" t="s">
        <v>1</v>
      </c>
      <c r="K1225" s="27">
        <v>465000</v>
      </c>
      <c r="L1225" s="4"/>
      <c r="M1225" s="4"/>
      <c r="N1225" s="4"/>
      <c r="O1225" s="4"/>
      <c r="P1225" s="283"/>
      <c r="Q1225" s="283"/>
      <c r="R1225" s="283"/>
      <c r="S1225" s="283"/>
      <c r="T1225" s="283">
        <v>35000</v>
      </c>
      <c r="U1225" s="283">
        <v>35000</v>
      </c>
      <c r="V1225" s="283">
        <v>35000</v>
      </c>
      <c r="W1225" s="283">
        <v>30000</v>
      </c>
      <c r="X1225" s="283">
        <v>30000</v>
      </c>
      <c r="Y1225" s="283">
        <v>30000</v>
      </c>
      <c r="Z1225" s="497">
        <v>30000</v>
      </c>
      <c r="AA1225" s="536">
        <v>30000</v>
      </c>
      <c r="AB1225" s="5">
        <v>30000</v>
      </c>
      <c r="AC1225" s="5">
        <v>30000</v>
      </c>
      <c r="AD1225" s="5">
        <v>30000</v>
      </c>
      <c r="AE1225" s="5">
        <v>30000</v>
      </c>
      <c r="AF1225" s="5">
        <v>30000</v>
      </c>
      <c r="AG1225" s="5">
        <v>30000</v>
      </c>
      <c r="AH1225" s="5">
        <v>30000</v>
      </c>
      <c r="AI1225" s="2" t="s">
        <v>11</v>
      </c>
      <c r="AJ1225" s="5"/>
      <c r="AK1225" s="5"/>
      <c r="AL1225" s="5"/>
    </row>
    <row r="1226" spans="1:46" s="2" customFormat="1" x14ac:dyDescent="0.25">
      <c r="A1226" s="400" t="s">
        <v>1073</v>
      </c>
      <c r="B1226" s="26"/>
      <c r="C1226" s="306"/>
      <c r="D1226" s="54"/>
      <c r="E1226" s="387" t="s">
        <v>12</v>
      </c>
      <c r="F1226" s="35"/>
      <c r="G1226" s="35" t="s">
        <v>918</v>
      </c>
      <c r="H1226" s="146" t="s">
        <v>1107</v>
      </c>
      <c r="I1226" s="35"/>
      <c r="J1226" s="17" t="s">
        <v>2</v>
      </c>
      <c r="K1226" s="388">
        <v>121999.17</v>
      </c>
      <c r="L1226" s="11"/>
      <c r="M1226" s="11"/>
      <c r="N1226" s="11"/>
      <c r="O1226" s="11"/>
      <c r="P1226" s="142"/>
      <c r="Q1226" s="142"/>
      <c r="R1226" s="142"/>
      <c r="S1226" s="142"/>
      <c r="T1226" s="142">
        <f>8974.17+9075</f>
        <v>18049.169999999998</v>
      </c>
      <c r="U1226" s="142">
        <f>8200+8200</f>
        <v>16400</v>
      </c>
      <c r="V1226" s="142">
        <f>7325+7325</f>
        <v>14650</v>
      </c>
      <c r="W1226" s="142">
        <f>6450+6450</f>
        <v>12900</v>
      </c>
      <c r="X1226" s="142">
        <f>5700+5700</f>
        <v>11400</v>
      </c>
      <c r="Y1226" s="142">
        <f>4950+4950</f>
        <v>9900</v>
      </c>
      <c r="Z1226" s="500">
        <f>4200+4200</f>
        <v>8400</v>
      </c>
      <c r="AA1226" s="539">
        <f>3450+3450</f>
        <v>6900</v>
      </c>
      <c r="AB1226" s="21">
        <f>2700+2700</f>
        <v>5400</v>
      </c>
      <c r="AC1226" s="21">
        <f>2400+2400</f>
        <v>4800</v>
      </c>
      <c r="AD1226" s="21">
        <f>2100+2100</f>
        <v>4200</v>
      </c>
      <c r="AE1226" s="21">
        <f>1800+1800</f>
        <v>3600</v>
      </c>
      <c r="AF1226" s="21">
        <f>1350+1350</f>
        <v>2700</v>
      </c>
      <c r="AG1226" s="21">
        <f>900+900</f>
        <v>1800</v>
      </c>
      <c r="AH1226" s="21">
        <f>450+450</f>
        <v>900</v>
      </c>
      <c r="AI1226" s="17" t="s">
        <v>11</v>
      </c>
      <c r="AJ1226" s="21"/>
      <c r="AK1226" s="21"/>
      <c r="AL1226" s="21"/>
      <c r="AM1226" s="17"/>
      <c r="AN1226" s="17"/>
      <c r="AO1226" s="17"/>
      <c r="AP1226" s="17"/>
      <c r="AQ1226" s="17"/>
      <c r="AR1226" s="17"/>
      <c r="AS1226" s="17"/>
      <c r="AT1226" s="17"/>
    </row>
    <row r="1227" spans="1:46" s="6" customFormat="1" ht="13.8" thickBot="1" x14ac:dyDescent="0.3">
      <c r="A1227" s="409" t="s">
        <v>1115</v>
      </c>
      <c r="B1227" s="120"/>
      <c r="C1227" s="307"/>
      <c r="D1227" s="85"/>
      <c r="E1227" s="390" t="s">
        <v>15</v>
      </c>
      <c r="F1227" s="391" t="s">
        <v>405</v>
      </c>
      <c r="G1227" s="141" t="s">
        <v>935</v>
      </c>
      <c r="H1227" s="141"/>
      <c r="I1227" s="125"/>
      <c r="J1227" s="392" t="s">
        <v>5</v>
      </c>
      <c r="K1227" s="393">
        <f>K1226+K1225</f>
        <v>586999.17000000004</v>
      </c>
      <c r="L1227" s="43"/>
      <c r="M1227" s="43"/>
      <c r="N1227" s="43"/>
      <c r="O1227" s="43"/>
      <c r="P1227" s="43"/>
      <c r="Q1227" s="43"/>
      <c r="R1227" s="43"/>
      <c r="S1227" s="43"/>
      <c r="T1227" s="43">
        <f t="shared" ref="T1227:AH1227" si="972">T1226+T1225</f>
        <v>53049.17</v>
      </c>
      <c r="U1227" s="43">
        <f t="shared" si="972"/>
        <v>51400</v>
      </c>
      <c r="V1227" s="43">
        <f t="shared" si="972"/>
        <v>49650</v>
      </c>
      <c r="W1227" s="43">
        <f t="shared" si="972"/>
        <v>42900</v>
      </c>
      <c r="X1227" s="43">
        <f t="shared" si="972"/>
        <v>41400</v>
      </c>
      <c r="Y1227" s="43">
        <f t="shared" si="972"/>
        <v>39900</v>
      </c>
      <c r="Z1227" s="499">
        <f t="shared" si="972"/>
        <v>38400</v>
      </c>
      <c r="AA1227" s="538">
        <f t="shared" si="972"/>
        <v>36900</v>
      </c>
      <c r="AB1227" s="43">
        <f t="shared" si="972"/>
        <v>35400</v>
      </c>
      <c r="AC1227" s="43">
        <f t="shared" si="972"/>
        <v>34800</v>
      </c>
      <c r="AD1227" s="43">
        <f t="shared" si="972"/>
        <v>34200</v>
      </c>
      <c r="AE1227" s="43">
        <f t="shared" si="972"/>
        <v>33600</v>
      </c>
      <c r="AF1227" s="43">
        <f t="shared" si="972"/>
        <v>32700</v>
      </c>
      <c r="AG1227" s="43">
        <f t="shared" si="972"/>
        <v>31800</v>
      </c>
      <c r="AH1227" s="43">
        <f t="shared" si="972"/>
        <v>30900</v>
      </c>
      <c r="AI1227" s="41" t="s">
        <v>11</v>
      </c>
      <c r="AJ1227" s="43"/>
      <c r="AK1227" s="43"/>
      <c r="AL1227" s="43"/>
      <c r="AM1227" s="41"/>
      <c r="AN1227" s="41"/>
      <c r="AO1227" s="41"/>
      <c r="AP1227" s="41"/>
      <c r="AQ1227" s="41"/>
      <c r="AR1227" s="41"/>
      <c r="AS1227" s="41"/>
      <c r="AT1227" s="41"/>
    </row>
    <row r="1228" spans="1:46" s="2" customFormat="1" x14ac:dyDescent="0.25">
      <c r="A1228" s="26" t="s">
        <v>99</v>
      </c>
      <c r="B1228" s="26" t="s">
        <v>96</v>
      </c>
      <c r="C1228" s="306"/>
      <c r="D1228" s="54" t="s">
        <v>3</v>
      </c>
      <c r="E1228" s="389">
        <v>43619</v>
      </c>
      <c r="F1228" s="386" t="s">
        <v>266</v>
      </c>
      <c r="G1228" s="313" t="s">
        <v>826</v>
      </c>
      <c r="H1228" s="313">
        <v>31422282</v>
      </c>
      <c r="I1228" s="313">
        <v>584000</v>
      </c>
      <c r="J1228" s="2" t="s">
        <v>1</v>
      </c>
      <c r="K1228" s="27">
        <v>235000</v>
      </c>
      <c r="L1228" s="5"/>
      <c r="M1228" s="4"/>
      <c r="N1228" s="4"/>
      <c r="O1228" s="4"/>
      <c r="P1228" s="283"/>
      <c r="Q1228" s="283"/>
      <c r="R1228" s="283"/>
      <c r="S1228" s="283"/>
      <c r="T1228" s="283">
        <v>20000</v>
      </c>
      <c r="U1228" s="283">
        <v>20000</v>
      </c>
      <c r="V1228" s="283">
        <v>15000</v>
      </c>
      <c r="W1228" s="283">
        <v>15000</v>
      </c>
      <c r="X1228" s="283">
        <v>15000</v>
      </c>
      <c r="Y1228" s="283">
        <v>15000</v>
      </c>
      <c r="Z1228" s="497">
        <v>15000</v>
      </c>
      <c r="AA1228" s="536">
        <v>15000</v>
      </c>
      <c r="AB1228" s="5">
        <v>15000</v>
      </c>
      <c r="AC1228" s="5">
        <v>15000</v>
      </c>
      <c r="AD1228" s="5">
        <v>15000</v>
      </c>
      <c r="AE1228" s="5">
        <v>15000</v>
      </c>
      <c r="AF1228" s="5">
        <v>15000</v>
      </c>
      <c r="AG1228" s="5">
        <v>15000</v>
      </c>
      <c r="AH1228" s="5">
        <v>15000</v>
      </c>
      <c r="AI1228" s="2" t="s">
        <v>11</v>
      </c>
      <c r="AJ1228" s="5"/>
      <c r="AK1228" s="5"/>
      <c r="AL1228" s="5"/>
    </row>
    <row r="1229" spans="1:46" s="2" customFormat="1" x14ac:dyDescent="0.25">
      <c r="A1229" s="400" t="s">
        <v>1074</v>
      </c>
      <c r="B1229" s="26"/>
      <c r="C1229" s="306"/>
      <c r="D1229" s="54"/>
      <c r="E1229" s="387" t="s">
        <v>12</v>
      </c>
      <c r="F1229" s="35"/>
      <c r="G1229" s="35" t="s">
        <v>919</v>
      </c>
      <c r="H1229" s="146" t="s">
        <v>1107</v>
      </c>
      <c r="I1229" s="35"/>
      <c r="J1229" s="17" t="s">
        <v>2</v>
      </c>
      <c r="K1229" s="388">
        <v>60998.89</v>
      </c>
      <c r="L1229" s="21"/>
      <c r="M1229" s="11"/>
      <c r="N1229" s="11"/>
      <c r="O1229" s="11"/>
      <c r="P1229" s="142"/>
      <c r="Q1229" s="142"/>
      <c r="R1229" s="142"/>
      <c r="S1229" s="142"/>
      <c r="T1229" s="142">
        <f>4548.89+4600</f>
        <v>9148.89</v>
      </c>
      <c r="U1229" s="142">
        <f>4100+4100</f>
        <v>8200</v>
      </c>
      <c r="V1229" s="142">
        <f>3600+3600</f>
        <v>7200</v>
      </c>
      <c r="W1229" s="142">
        <f>3225+3225</f>
        <v>6450</v>
      </c>
      <c r="X1229" s="142">
        <f>2850+2850</f>
        <v>5700</v>
      </c>
      <c r="Y1229" s="142">
        <f>2475+2475</f>
        <v>4950</v>
      </c>
      <c r="Z1229" s="500">
        <f>2100+2100</f>
        <v>4200</v>
      </c>
      <c r="AA1229" s="539">
        <f>1725+1725</f>
        <v>3450</v>
      </c>
      <c r="AB1229" s="21">
        <f>1350+1350</f>
        <v>2700</v>
      </c>
      <c r="AC1229" s="21">
        <f>1200+1200</f>
        <v>2400</v>
      </c>
      <c r="AD1229" s="21">
        <f>1050+1050</f>
        <v>2100</v>
      </c>
      <c r="AE1229" s="21">
        <f>900+900</f>
        <v>1800</v>
      </c>
      <c r="AF1229" s="21">
        <f>675+675</f>
        <v>1350</v>
      </c>
      <c r="AG1229" s="21">
        <f>450+450</f>
        <v>900</v>
      </c>
      <c r="AH1229" s="21">
        <f>225+225</f>
        <v>450</v>
      </c>
      <c r="AI1229" s="17" t="s">
        <v>11</v>
      </c>
      <c r="AJ1229" s="21"/>
      <c r="AK1229" s="21"/>
      <c r="AL1229" s="21"/>
      <c r="AM1229" s="17"/>
      <c r="AN1229" s="17"/>
      <c r="AO1229" s="17"/>
      <c r="AP1229" s="17"/>
      <c r="AQ1229" s="17"/>
      <c r="AR1229" s="17"/>
      <c r="AS1229" s="17"/>
      <c r="AT1229" s="17"/>
    </row>
    <row r="1230" spans="1:46" s="6" customFormat="1" ht="13.8" thickBot="1" x14ac:dyDescent="0.3">
      <c r="A1230" s="409" t="s">
        <v>1115</v>
      </c>
      <c r="B1230" s="120"/>
      <c r="C1230" s="307"/>
      <c r="D1230" s="85"/>
      <c r="E1230" s="390" t="s">
        <v>15</v>
      </c>
      <c r="F1230" s="391" t="s">
        <v>405</v>
      </c>
      <c r="G1230" s="141" t="s">
        <v>936</v>
      </c>
      <c r="H1230" s="141"/>
      <c r="I1230" s="125"/>
      <c r="J1230" s="392" t="s">
        <v>5</v>
      </c>
      <c r="K1230" s="393">
        <f>K1229+K1228</f>
        <v>295998.89</v>
      </c>
      <c r="L1230" s="43"/>
      <c r="M1230" s="43"/>
      <c r="N1230" s="43"/>
      <c r="O1230" s="43"/>
      <c r="P1230" s="43"/>
      <c r="Q1230" s="43"/>
      <c r="R1230" s="43"/>
      <c r="S1230" s="43"/>
      <c r="T1230" s="43">
        <f t="shared" ref="T1230:AH1230" si="973">T1229+T1228</f>
        <v>29148.89</v>
      </c>
      <c r="U1230" s="43">
        <f t="shared" si="973"/>
        <v>28200</v>
      </c>
      <c r="V1230" s="43">
        <f t="shared" si="973"/>
        <v>22200</v>
      </c>
      <c r="W1230" s="43">
        <f t="shared" si="973"/>
        <v>21450</v>
      </c>
      <c r="X1230" s="43">
        <f t="shared" si="973"/>
        <v>20700</v>
      </c>
      <c r="Y1230" s="43">
        <f t="shared" si="973"/>
        <v>19950</v>
      </c>
      <c r="Z1230" s="499">
        <f t="shared" si="973"/>
        <v>19200</v>
      </c>
      <c r="AA1230" s="538">
        <f t="shared" si="973"/>
        <v>18450</v>
      </c>
      <c r="AB1230" s="43">
        <f t="shared" si="973"/>
        <v>17700</v>
      </c>
      <c r="AC1230" s="43">
        <f t="shared" si="973"/>
        <v>17400</v>
      </c>
      <c r="AD1230" s="43">
        <f t="shared" si="973"/>
        <v>17100</v>
      </c>
      <c r="AE1230" s="43">
        <f t="shared" si="973"/>
        <v>16800</v>
      </c>
      <c r="AF1230" s="43">
        <f t="shared" si="973"/>
        <v>16350</v>
      </c>
      <c r="AG1230" s="43">
        <f t="shared" si="973"/>
        <v>15900</v>
      </c>
      <c r="AH1230" s="43">
        <f t="shared" si="973"/>
        <v>15450</v>
      </c>
      <c r="AI1230" s="41" t="s">
        <v>11</v>
      </c>
      <c r="AJ1230" s="43"/>
      <c r="AK1230" s="43"/>
      <c r="AL1230" s="43"/>
      <c r="AM1230" s="41"/>
      <c r="AN1230" s="41"/>
      <c r="AO1230" s="41"/>
      <c r="AP1230" s="41"/>
      <c r="AQ1230" s="41"/>
      <c r="AR1230" s="41"/>
      <c r="AS1230" s="41"/>
      <c r="AT1230" s="41"/>
    </row>
    <row r="1231" spans="1:46" s="2" customFormat="1" x14ac:dyDescent="0.25">
      <c r="A1231" s="26" t="s">
        <v>99</v>
      </c>
      <c r="B1231" s="26" t="s">
        <v>96</v>
      </c>
      <c r="C1231" s="306"/>
      <c r="D1231" s="54" t="s">
        <v>3</v>
      </c>
      <c r="E1231" s="389">
        <v>43619</v>
      </c>
      <c r="F1231" s="386" t="s">
        <v>266</v>
      </c>
      <c r="G1231" s="313" t="s">
        <v>766</v>
      </c>
      <c r="H1231" s="313">
        <v>31422282</v>
      </c>
      <c r="I1231" s="313">
        <v>586202</v>
      </c>
      <c r="J1231" s="2" t="s">
        <v>1</v>
      </c>
      <c r="K1231" s="27">
        <v>185000</v>
      </c>
      <c r="L1231" s="5"/>
      <c r="M1231" s="4"/>
      <c r="N1231" s="4"/>
      <c r="O1231" s="4"/>
      <c r="P1231" s="283"/>
      <c r="Q1231" s="283"/>
      <c r="R1231" s="283"/>
      <c r="S1231" s="283"/>
      <c r="T1231" s="283">
        <v>15000</v>
      </c>
      <c r="U1231" s="283">
        <v>15000</v>
      </c>
      <c r="V1231" s="283">
        <v>15000</v>
      </c>
      <c r="W1231" s="283">
        <v>15000</v>
      </c>
      <c r="X1231" s="283">
        <v>15000</v>
      </c>
      <c r="Y1231" s="283">
        <v>15000</v>
      </c>
      <c r="Z1231" s="497">
        <v>15000</v>
      </c>
      <c r="AA1231" s="536">
        <v>10000</v>
      </c>
      <c r="AB1231" s="5">
        <v>10000</v>
      </c>
      <c r="AC1231" s="5">
        <v>10000</v>
      </c>
      <c r="AD1231" s="5">
        <v>10000</v>
      </c>
      <c r="AE1231" s="5">
        <v>10000</v>
      </c>
      <c r="AF1231" s="5">
        <v>10000</v>
      </c>
      <c r="AG1231" s="5">
        <v>10000</v>
      </c>
      <c r="AH1231" s="5">
        <v>10000</v>
      </c>
      <c r="AI1231" s="2" t="s">
        <v>11</v>
      </c>
      <c r="AJ1231" s="5"/>
      <c r="AK1231" s="5"/>
      <c r="AL1231" s="5"/>
    </row>
    <row r="1232" spans="1:46" s="2" customFormat="1" x14ac:dyDescent="0.25">
      <c r="A1232" s="400" t="s">
        <v>1075</v>
      </c>
      <c r="B1232" s="26"/>
      <c r="C1232" s="306"/>
      <c r="D1232" s="54"/>
      <c r="E1232" s="387" t="s">
        <v>12</v>
      </c>
      <c r="F1232" s="35"/>
      <c r="G1232" s="35" t="s">
        <v>920</v>
      </c>
      <c r="H1232" s="146" t="s">
        <v>1107</v>
      </c>
      <c r="I1232" s="35"/>
      <c r="J1232" s="17" t="s">
        <v>2</v>
      </c>
      <c r="K1232" s="388">
        <v>47158.06</v>
      </c>
      <c r="L1232" s="21"/>
      <c r="M1232" s="11"/>
      <c r="N1232" s="11"/>
      <c r="O1232" s="11"/>
      <c r="P1232" s="142"/>
      <c r="Q1232" s="142"/>
      <c r="R1232" s="142"/>
      <c r="S1232" s="142"/>
      <c r="T1232" s="142">
        <f>3733.06+3775</f>
        <v>7508.0599999999995</v>
      </c>
      <c r="U1232" s="142">
        <f>3400+3400</f>
        <v>6800</v>
      </c>
      <c r="V1232" s="142">
        <f>3025+3025</f>
        <v>6050</v>
      </c>
      <c r="W1232" s="142">
        <f>2650+2650</f>
        <v>5300</v>
      </c>
      <c r="X1232" s="142">
        <f>2275+2275</f>
        <v>4550</v>
      </c>
      <c r="Y1232" s="142">
        <f>1900+1900</f>
        <v>3800</v>
      </c>
      <c r="Z1232" s="500">
        <f>1525+1525</f>
        <v>3050</v>
      </c>
      <c r="AA1232" s="539">
        <f>1150+1150</f>
        <v>2300</v>
      </c>
      <c r="AB1232" s="21">
        <f>900+900</f>
        <v>1800</v>
      </c>
      <c r="AC1232" s="21">
        <f>800+800</f>
        <v>1600</v>
      </c>
      <c r="AD1232" s="21">
        <f>700+700</f>
        <v>1400</v>
      </c>
      <c r="AE1232" s="21">
        <f>600+600</f>
        <v>1200</v>
      </c>
      <c r="AF1232" s="21">
        <f>450+450</f>
        <v>900</v>
      </c>
      <c r="AG1232" s="21">
        <f>300+300</f>
        <v>600</v>
      </c>
      <c r="AH1232" s="21">
        <f>150+150</f>
        <v>300</v>
      </c>
      <c r="AI1232" s="17" t="s">
        <v>11</v>
      </c>
      <c r="AJ1232" s="21"/>
      <c r="AK1232" s="21"/>
      <c r="AL1232" s="21"/>
      <c r="AM1232" s="17"/>
      <c r="AN1232" s="17"/>
      <c r="AO1232" s="17"/>
      <c r="AP1232" s="17"/>
      <c r="AQ1232" s="17"/>
      <c r="AR1232" s="17"/>
      <c r="AS1232" s="17"/>
      <c r="AT1232" s="17"/>
    </row>
    <row r="1233" spans="1:46" s="6" customFormat="1" ht="13.8" thickBot="1" x14ac:dyDescent="0.3">
      <c r="A1233" s="409" t="s">
        <v>1115</v>
      </c>
      <c r="B1233" s="120"/>
      <c r="C1233" s="307"/>
      <c r="D1233" s="85"/>
      <c r="E1233" s="390" t="s">
        <v>15</v>
      </c>
      <c r="F1233" s="391" t="s">
        <v>405</v>
      </c>
      <c r="G1233" s="141" t="s">
        <v>936</v>
      </c>
      <c r="H1233" s="141"/>
      <c r="I1233" s="125"/>
      <c r="J1233" s="392" t="s">
        <v>5</v>
      </c>
      <c r="K1233" s="393">
        <f>K1232+K1231</f>
        <v>232158.06</v>
      </c>
      <c r="L1233" s="43"/>
      <c r="M1233" s="43"/>
      <c r="N1233" s="43"/>
      <c r="O1233" s="43"/>
      <c r="P1233" s="43"/>
      <c r="Q1233" s="43"/>
      <c r="R1233" s="43"/>
      <c r="S1233" s="43"/>
      <c r="T1233" s="43">
        <f t="shared" ref="T1233:AH1233" si="974">T1232+T1231</f>
        <v>22508.059999999998</v>
      </c>
      <c r="U1233" s="43">
        <f t="shared" si="974"/>
        <v>21800</v>
      </c>
      <c r="V1233" s="43">
        <f t="shared" si="974"/>
        <v>21050</v>
      </c>
      <c r="W1233" s="43">
        <f t="shared" si="974"/>
        <v>20300</v>
      </c>
      <c r="X1233" s="43">
        <f t="shared" si="974"/>
        <v>19550</v>
      </c>
      <c r="Y1233" s="43">
        <f t="shared" si="974"/>
        <v>18800</v>
      </c>
      <c r="Z1233" s="499">
        <f t="shared" si="974"/>
        <v>18050</v>
      </c>
      <c r="AA1233" s="538">
        <f t="shared" si="974"/>
        <v>12300</v>
      </c>
      <c r="AB1233" s="43">
        <f t="shared" si="974"/>
        <v>11800</v>
      </c>
      <c r="AC1233" s="43">
        <f t="shared" si="974"/>
        <v>11600</v>
      </c>
      <c r="AD1233" s="43">
        <f t="shared" si="974"/>
        <v>11400</v>
      </c>
      <c r="AE1233" s="43">
        <f t="shared" si="974"/>
        <v>11200</v>
      </c>
      <c r="AF1233" s="43">
        <f t="shared" si="974"/>
        <v>10900</v>
      </c>
      <c r="AG1233" s="43">
        <f t="shared" si="974"/>
        <v>10600</v>
      </c>
      <c r="AH1233" s="43">
        <f t="shared" si="974"/>
        <v>10300</v>
      </c>
      <c r="AI1233" s="41" t="s">
        <v>11</v>
      </c>
      <c r="AJ1233" s="43"/>
      <c r="AK1233" s="43"/>
      <c r="AL1233" s="43"/>
      <c r="AM1233" s="41"/>
      <c r="AN1233" s="41"/>
      <c r="AO1233" s="41"/>
      <c r="AP1233" s="41"/>
      <c r="AQ1233" s="41"/>
      <c r="AR1233" s="41"/>
      <c r="AS1233" s="41"/>
      <c r="AT1233" s="41"/>
    </row>
    <row r="1234" spans="1:46" s="2" customFormat="1" x14ac:dyDescent="0.25">
      <c r="A1234" s="26" t="s">
        <v>99</v>
      </c>
      <c r="B1234" s="26" t="s">
        <v>96</v>
      </c>
      <c r="C1234" s="306"/>
      <c r="D1234" s="54" t="s">
        <v>3</v>
      </c>
      <c r="E1234" s="389">
        <v>43619</v>
      </c>
      <c r="F1234" s="386" t="s">
        <v>281</v>
      </c>
      <c r="G1234" s="313" t="s">
        <v>921</v>
      </c>
      <c r="H1234" s="313">
        <v>31422282</v>
      </c>
      <c r="I1234" s="313">
        <v>574020</v>
      </c>
      <c r="J1234" s="2" t="s">
        <v>1</v>
      </c>
      <c r="K1234" s="27">
        <v>140000</v>
      </c>
      <c r="L1234" s="5"/>
      <c r="M1234" s="4"/>
      <c r="N1234" s="4"/>
      <c r="O1234" s="4"/>
      <c r="P1234" s="283"/>
      <c r="Q1234" s="283"/>
      <c r="R1234" s="283"/>
      <c r="S1234" s="283"/>
      <c r="T1234" s="283">
        <v>30000</v>
      </c>
      <c r="U1234" s="283">
        <v>30000</v>
      </c>
      <c r="V1234" s="283">
        <v>30000</v>
      </c>
      <c r="W1234" s="283">
        <v>25000</v>
      </c>
      <c r="X1234" s="283">
        <v>25000</v>
      </c>
      <c r="Y1234" s="2" t="s">
        <v>11</v>
      </c>
      <c r="Z1234" s="497"/>
      <c r="AA1234" s="536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</row>
    <row r="1235" spans="1:46" s="2" customFormat="1" x14ac:dyDescent="0.25">
      <c r="A1235" s="400" t="s">
        <v>1076</v>
      </c>
      <c r="B1235" s="26"/>
      <c r="C1235" s="306"/>
      <c r="D1235" s="54"/>
      <c r="E1235" s="387" t="s">
        <v>12</v>
      </c>
      <c r="F1235" s="35"/>
      <c r="G1235" s="35" t="s">
        <v>922</v>
      </c>
      <c r="H1235" s="146" t="s">
        <v>1106</v>
      </c>
      <c r="I1235" s="35"/>
      <c r="J1235" s="17" t="s">
        <v>2</v>
      </c>
      <c r="K1235" s="388">
        <v>20211.11</v>
      </c>
      <c r="L1235" s="21"/>
      <c r="M1235" s="11"/>
      <c r="N1235" s="11"/>
      <c r="O1235" s="11"/>
      <c r="P1235" s="142"/>
      <c r="Q1235" s="142"/>
      <c r="R1235" s="142"/>
      <c r="S1235" s="142"/>
      <c r="T1235" s="142">
        <f>3461.11+3500</f>
        <v>6961.1100000000006</v>
      </c>
      <c r="U1235" s="142">
        <f>2750+2750</f>
        <v>5500</v>
      </c>
      <c r="V1235" s="142">
        <f>2000+2000</f>
        <v>4000</v>
      </c>
      <c r="W1235" s="142">
        <f>1250+1250</f>
        <v>2500</v>
      </c>
      <c r="X1235" s="142">
        <f>625+625</f>
        <v>1250</v>
      </c>
      <c r="Y1235" s="17" t="s">
        <v>11</v>
      </c>
      <c r="Z1235" s="500"/>
      <c r="AA1235" s="539"/>
      <c r="AB1235" s="21"/>
      <c r="AC1235" s="21"/>
      <c r="AD1235" s="21"/>
      <c r="AE1235" s="21"/>
      <c r="AF1235" s="21"/>
      <c r="AG1235" s="21"/>
      <c r="AH1235" s="21"/>
      <c r="AI1235" s="21"/>
      <c r="AJ1235" s="21"/>
      <c r="AK1235" s="21"/>
      <c r="AL1235" s="21"/>
      <c r="AM1235" s="17"/>
      <c r="AN1235" s="17"/>
      <c r="AO1235" s="17"/>
      <c r="AP1235" s="17"/>
      <c r="AQ1235" s="17"/>
      <c r="AR1235" s="17"/>
      <c r="AS1235" s="17"/>
      <c r="AT1235" s="17"/>
    </row>
    <row r="1236" spans="1:46" s="6" customFormat="1" ht="13.8" thickBot="1" x14ac:dyDescent="0.3">
      <c r="A1236" s="409" t="s">
        <v>1115</v>
      </c>
      <c r="B1236" s="120"/>
      <c r="C1236" s="307"/>
      <c r="D1236" s="85"/>
      <c r="E1236" s="390" t="s">
        <v>15</v>
      </c>
      <c r="F1236" s="391" t="s">
        <v>405</v>
      </c>
      <c r="G1236" s="141" t="s">
        <v>931</v>
      </c>
      <c r="H1236" s="141"/>
      <c r="I1236" s="125"/>
      <c r="J1236" s="392" t="s">
        <v>5</v>
      </c>
      <c r="K1236" s="393">
        <f>K1235+K1234</f>
        <v>160211.10999999999</v>
      </c>
      <c r="L1236" s="43"/>
      <c r="M1236" s="43"/>
      <c r="N1236" s="43"/>
      <c r="O1236" s="43"/>
      <c r="P1236" s="43"/>
      <c r="Q1236" s="43"/>
      <c r="R1236" s="43"/>
      <c r="S1236" s="43"/>
      <c r="T1236" s="43">
        <f t="shared" ref="T1236" si="975">T1235+T1234</f>
        <v>36961.11</v>
      </c>
      <c r="U1236" s="43">
        <f>U1235+U1234</f>
        <v>35500</v>
      </c>
      <c r="V1236" s="43">
        <f t="shared" ref="V1236:X1236" si="976">V1235+V1234</f>
        <v>34000</v>
      </c>
      <c r="W1236" s="43">
        <f t="shared" si="976"/>
        <v>27500</v>
      </c>
      <c r="X1236" s="43">
        <f t="shared" si="976"/>
        <v>26250</v>
      </c>
      <c r="Y1236" s="41" t="s">
        <v>11</v>
      </c>
      <c r="Z1236" s="499"/>
      <c r="AA1236" s="538"/>
      <c r="AB1236" s="43"/>
      <c r="AC1236" s="43"/>
      <c r="AD1236" s="43"/>
      <c r="AE1236" s="43"/>
      <c r="AF1236" s="43"/>
      <c r="AG1236" s="43"/>
      <c r="AH1236" s="43"/>
      <c r="AI1236" s="43"/>
      <c r="AJ1236" s="43"/>
      <c r="AK1236" s="43"/>
      <c r="AL1236" s="43"/>
      <c r="AM1236" s="41"/>
      <c r="AN1236" s="41"/>
      <c r="AO1236" s="41"/>
      <c r="AP1236" s="41"/>
      <c r="AQ1236" s="41"/>
      <c r="AR1236" s="41"/>
      <c r="AS1236" s="41"/>
      <c r="AT1236" s="41"/>
    </row>
    <row r="1237" spans="1:46" s="2" customFormat="1" x14ac:dyDescent="0.25">
      <c r="A1237" s="26" t="s">
        <v>99</v>
      </c>
      <c r="B1237" s="26" t="s">
        <v>96</v>
      </c>
      <c r="C1237" s="306"/>
      <c r="D1237" s="54" t="s">
        <v>3</v>
      </c>
      <c r="E1237" s="389">
        <v>43619</v>
      </c>
      <c r="F1237" s="386" t="s">
        <v>266</v>
      </c>
      <c r="G1237" s="313" t="s">
        <v>861</v>
      </c>
      <c r="H1237" s="313">
        <v>31422282</v>
      </c>
      <c r="I1237" s="313">
        <v>584005</v>
      </c>
      <c r="J1237" s="2" t="s">
        <v>1</v>
      </c>
      <c r="K1237" s="27">
        <v>1395000</v>
      </c>
      <c r="L1237" s="4"/>
      <c r="M1237" s="4"/>
      <c r="N1237" s="4"/>
      <c r="O1237" s="4"/>
      <c r="P1237" s="283"/>
      <c r="Q1237" s="283"/>
      <c r="R1237" s="283"/>
      <c r="S1237" s="283"/>
      <c r="T1237" s="283">
        <v>95000</v>
      </c>
      <c r="U1237" s="283">
        <v>95000</v>
      </c>
      <c r="V1237" s="283">
        <v>95000</v>
      </c>
      <c r="W1237" s="283">
        <v>95000</v>
      </c>
      <c r="X1237" s="283">
        <v>95000</v>
      </c>
      <c r="Y1237" s="283">
        <v>95000</v>
      </c>
      <c r="Z1237" s="497">
        <v>95000</v>
      </c>
      <c r="AA1237" s="536">
        <v>95000</v>
      </c>
      <c r="AB1237" s="5">
        <v>95000</v>
      </c>
      <c r="AC1237" s="5">
        <v>90000</v>
      </c>
      <c r="AD1237" s="5">
        <v>90000</v>
      </c>
      <c r="AE1237" s="5">
        <v>90000</v>
      </c>
      <c r="AF1237" s="5">
        <v>90000</v>
      </c>
      <c r="AG1237" s="5">
        <v>90000</v>
      </c>
      <c r="AH1237" s="5">
        <v>90000</v>
      </c>
      <c r="AI1237" s="2" t="s">
        <v>11</v>
      </c>
      <c r="AJ1237" s="5"/>
      <c r="AK1237" s="5"/>
      <c r="AL1237" s="5"/>
    </row>
    <row r="1238" spans="1:46" s="2" customFormat="1" x14ac:dyDescent="0.25">
      <c r="A1238" s="400" t="s">
        <v>1077</v>
      </c>
      <c r="B1238" s="26"/>
      <c r="C1238" s="306"/>
      <c r="D1238" s="54"/>
      <c r="E1238" s="387" t="s">
        <v>12</v>
      </c>
      <c r="F1238" s="35"/>
      <c r="G1238" s="35" t="s">
        <v>923</v>
      </c>
      <c r="H1238" s="146" t="s">
        <v>1107</v>
      </c>
      <c r="I1238" s="35"/>
      <c r="J1238" s="17" t="s">
        <v>2</v>
      </c>
      <c r="K1238" s="388">
        <v>371398.33</v>
      </c>
      <c r="L1238" s="11"/>
      <c r="M1238" s="11"/>
      <c r="N1238" s="11"/>
      <c r="O1238" s="11"/>
      <c r="P1238" s="142"/>
      <c r="Q1238" s="142"/>
      <c r="R1238" s="142"/>
      <c r="S1238" s="142"/>
      <c r="T1238" s="142">
        <f>26848.33+27150</f>
        <v>53998.33</v>
      </c>
      <c r="U1238" s="142">
        <f>24775+24775</f>
        <v>49550</v>
      </c>
      <c r="V1238" s="142">
        <f>22400+22400</f>
        <v>44800</v>
      </c>
      <c r="W1238" s="142">
        <f>20025+20025</f>
        <v>40050</v>
      </c>
      <c r="X1238" s="142">
        <f>17650+17650</f>
        <v>35300</v>
      </c>
      <c r="Y1238" s="142">
        <f>15275+15275</f>
        <v>30550</v>
      </c>
      <c r="Z1238" s="500">
        <f>12900+12900</f>
        <v>25800</v>
      </c>
      <c r="AA1238" s="539">
        <f>10525+10525</f>
        <v>21050</v>
      </c>
      <c r="AB1238" s="21">
        <f>8150+8150</f>
        <v>16300</v>
      </c>
      <c r="AC1238" s="21">
        <f>7200+7200</f>
        <v>14400</v>
      </c>
      <c r="AD1238" s="21">
        <f>6300+6300</f>
        <v>12600</v>
      </c>
      <c r="AE1238" s="21">
        <f>5400+5400</f>
        <v>10800</v>
      </c>
      <c r="AF1238" s="21">
        <f>4050+4050</f>
        <v>8100</v>
      </c>
      <c r="AG1238" s="21">
        <f>2700+2700</f>
        <v>5400</v>
      </c>
      <c r="AH1238" s="21">
        <f>1350+1350</f>
        <v>2700</v>
      </c>
      <c r="AI1238" s="17" t="s">
        <v>11</v>
      </c>
      <c r="AJ1238" s="21"/>
      <c r="AK1238" s="21"/>
      <c r="AL1238" s="21"/>
      <c r="AM1238" s="17"/>
      <c r="AN1238" s="17"/>
      <c r="AO1238" s="17"/>
      <c r="AP1238" s="17"/>
      <c r="AQ1238" s="17"/>
      <c r="AR1238" s="17"/>
      <c r="AS1238" s="17"/>
      <c r="AT1238" s="17"/>
    </row>
    <row r="1239" spans="1:46" s="6" customFormat="1" ht="13.8" thickBot="1" x14ac:dyDescent="0.3">
      <c r="A1239" s="409" t="s">
        <v>1115</v>
      </c>
      <c r="B1239" s="120"/>
      <c r="C1239" s="307"/>
      <c r="D1239" s="85"/>
      <c r="E1239" s="390" t="s">
        <v>15</v>
      </c>
      <c r="F1239" s="391" t="s">
        <v>405</v>
      </c>
      <c r="G1239" s="141" t="s">
        <v>937</v>
      </c>
      <c r="H1239" s="141"/>
      <c r="I1239" s="125"/>
      <c r="J1239" s="392" t="s">
        <v>5</v>
      </c>
      <c r="K1239" s="393">
        <f>K1238+K1237</f>
        <v>1766398.33</v>
      </c>
      <c r="L1239" s="43"/>
      <c r="M1239" s="43"/>
      <c r="N1239" s="43"/>
      <c r="O1239" s="43"/>
      <c r="P1239" s="43"/>
      <c r="Q1239" s="43"/>
      <c r="R1239" s="43"/>
      <c r="S1239" s="43"/>
      <c r="T1239" s="43">
        <f t="shared" ref="T1239:AH1239" si="977">T1238+T1237</f>
        <v>148998.33000000002</v>
      </c>
      <c r="U1239" s="43">
        <f t="shared" si="977"/>
        <v>144550</v>
      </c>
      <c r="V1239" s="43">
        <f t="shared" si="977"/>
        <v>139800</v>
      </c>
      <c r="W1239" s="43">
        <f t="shared" si="977"/>
        <v>135050</v>
      </c>
      <c r="X1239" s="43">
        <f t="shared" si="977"/>
        <v>130300</v>
      </c>
      <c r="Y1239" s="43">
        <f t="shared" si="977"/>
        <v>125550</v>
      </c>
      <c r="Z1239" s="499">
        <f t="shared" si="977"/>
        <v>120800</v>
      </c>
      <c r="AA1239" s="538">
        <f t="shared" si="977"/>
        <v>116050</v>
      </c>
      <c r="AB1239" s="43">
        <f t="shared" si="977"/>
        <v>111300</v>
      </c>
      <c r="AC1239" s="43">
        <f t="shared" si="977"/>
        <v>104400</v>
      </c>
      <c r="AD1239" s="43">
        <f t="shared" si="977"/>
        <v>102600</v>
      </c>
      <c r="AE1239" s="43">
        <f t="shared" si="977"/>
        <v>100800</v>
      </c>
      <c r="AF1239" s="43">
        <f t="shared" si="977"/>
        <v>98100</v>
      </c>
      <c r="AG1239" s="43">
        <f t="shared" si="977"/>
        <v>95400</v>
      </c>
      <c r="AH1239" s="43">
        <f t="shared" si="977"/>
        <v>92700</v>
      </c>
      <c r="AI1239" s="41" t="s">
        <v>11</v>
      </c>
      <c r="AJ1239" s="43"/>
      <c r="AK1239" s="43"/>
      <c r="AL1239" s="43"/>
      <c r="AM1239" s="41"/>
      <c r="AN1239" s="41"/>
      <c r="AO1239" s="41"/>
      <c r="AP1239" s="41"/>
      <c r="AQ1239" s="41"/>
      <c r="AR1239" s="41"/>
      <c r="AS1239" s="41"/>
      <c r="AT1239" s="41"/>
    </row>
    <row r="1240" spans="1:46" s="2" customFormat="1" x14ac:dyDescent="0.25">
      <c r="A1240" s="26" t="s">
        <v>101</v>
      </c>
      <c r="B1240" s="26" t="s">
        <v>96</v>
      </c>
      <c r="C1240" s="306"/>
      <c r="D1240" s="54" t="s">
        <v>3</v>
      </c>
      <c r="E1240" s="389">
        <v>43619</v>
      </c>
      <c r="F1240" s="386" t="s">
        <v>266</v>
      </c>
      <c r="G1240" s="320" t="s">
        <v>924</v>
      </c>
      <c r="H1240" s="320">
        <v>31610282</v>
      </c>
      <c r="I1240" s="320">
        <v>582006</v>
      </c>
      <c r="J1240" s="2" t="s">
        <v>1</v>
      </c>
      <c r="K1240" s="27">
        <v>120000</v>
      </c>
      <c r="L1240" s="4"/>
      <c r="M1240" s="4"/>
      <c r="N1240" s="4"/>
      <c r="O1240" s="4"/>
      <c r="P1240" s="283"/>
      <c r="Q1240" s="283"/>
      <c r="R1240" s="283"/>
      <c r="S1240" s="283"/>
      <c r="T1240" s="283">
        <v>15000</v>
      </c>
      <c r="U1240" s="283">
        <v>15000</v>
      </c>
      <c r="V1240" s="283">
        <v>15000</v>
      </c>
      <c r="W1240" s="283">
        <v>15000</v>
      </c>
      <c r="X1240" s="283">
        <v>10000</v>
      </c>
      <c r="Y1240" s="283">
        <v>10000</v>
      </c>
      <c r="Z1240" s="497">
        <v>10000</v>
      </c>
      <c r="AA1240" s="536">
        <v>10000</v>
      </c>
      <c r="AB1240" s="5">
        <v>10000</v>
      </c>
      <c r="AC1240" s="5">
        <v>10000</v>
      </c>
      <c r="AD1240" s="2" t="s">
        <v>11</v>
      </c>
      <c r="AE1240" s="5"/>
      <c r="AF1240" s="5"/>
      <c r="AG1240" s="5"/>
      <c r="AH1240" s="5"/>
      <c r="AI1240" s="5"/>
      <c r="AJ1240" s="5"/>
      <c r="AK1240" s="5"/>
      <c r="AL1240" s="5"/>
    </row>
    <row r="1241" spans="1:46" s="2" customFormat="1" x14ac:dyDescent="0.25">
      <c r="A1241" s="400" t="s">
        <v>1078</v>
      </c>
      <c r="B1241" s="26"/>
      <c r="C1241" s="306"/>
      <c r="D1241" s="54"/>
      <c r="E1241" s="387" t="s">
        <v>12</v>
      </c>
      <c r="F1241" s="35"/>
      <c r="G1241" s="35" t="s">
        <v>925</v>
      </c>
      <c r="H1241" s="146" t="s">
        <v>1105</v>
      </c>
      <c r="I1241" s="35"/>
      <c r="J1241" s="17" t="s">
        <v>2</v>
      </c>
      <c r="K1241" s="388">
        <v>24270</v>
      </c>
      <c r="L1241" s="11"/>
      <c r="M1241" s="11"/>
      <c r="N1241" s="11"/>
      <c r="O1241" s="11"/>
      <c r="P1241" s="142"/>
      <c r="Q1241" s="142"/>
      <c r="R1241" s="142"/>
      <c r="S1241" s="142"/>
      <c r="T1241" s="142">
        <f>2670+2700</f>
        <v>5370</v>
      </c>
      <c r="U1241" s="142">
        <f>2325+2325</f>
        <v>4650</v>
      </c>
      <c r="V1241" s="142">
        <f>1950+1950</f>
        <v>3900</v>
      </c>
      <c r="W1241" s="142">
        <f>1575+1575</f>
        <v>3150</v>
      </c>
      <c r="X1241" s="142">
        <f>1200+1200</f>
        <v>2400</v>
      </c>
      <c r="Y1241" s="142">
        <f>950+950</f>
        <v>1900</v>
      </c>
      <c r="Z1241" s="500">
        <f>700+700</f>
        <v>1400</v>
      </c>
      <c r="AA1241" s="539">
        <f>450+450</f>
        <v>900</v>
      </c>
      <c r="AB1241" s="21">
        <f>200+200</f>
        <v>400</v>
      </c>
      <c r="AC1241" s="21">
        <f>100+100</f>
        <v>200</v>
      </c>
      <c r="AD1241" s="17" t="s">
        <v>11</v>
      </c>
      <c r="AE1241" s="21"/>
      <c r="AF1241" s="21"/>
      <c r="AG1241" s="21"/>
      <c r="AH1241" s="21"/>
      <c r="AI1241" s="21"/>
      <c r="AJ1241" s="21"/>
      <c r="AK1241" s="21"/>
      <c r="AL1241" s="21"/>
      <c r="AM1241" s="17"/>
      <c r="AN1241" s="17"/>
      <c r="AO1241" s="17"/>
      <c r="AP1241" s="17"/>
      <c r="AQ1241" s="17"/>
      <c r="AR1241" s="17"/>
      <c r="AS1241" s="17"/>
      <c r="AT1241" s="17"/>
    </row>
    <row r="1242" spans="1:46" s="6" customFormat="1" ht="13.8" thickBot="1" x14ac:dyDescent="0.3">
      <c r="A1242" s="409" t="s">
        <v>1115</v>
      </c>
      <c r="B1242" s="120"/>
      <c r="C1242" s="307"/>
      <c r="D1242" s="85"/>
      <c r="E1242" s="390" t="s">
        <v>40</v>
      </c>
      <c r="F1242" s="391" t="s">
        <v>412</v>
      </c>
      <c r="G1242" s="141" t="s">
        <v>931</v>
      </c>
      <c r="H1242" s="141"/>
      <c r="I1242" s="125"/>
      <c r="J1242" s="392" t="s">
        <v>5</v>
      </c>
      <c r="K1242" s="393">
        <f>K1241+K1240</f>
        <v>144270</v>
      </c>
      <c r="L1242" s="43"/>
      <c r="M1242" s="43"/>
      <c r="N1242" s="43"/>
      <c r="O1242" s="43"/>
      <c r="P1242" s="43"/>
      <c r="Q1242" s="43"/>
      <c r="R1242" s="43"/>
      <c r="S1242" s="43"/>
      <c r="T1242" s="43">
        <f t="shared" ref="T1242" si="978">T1241+T1240</f>
        <v>20370</v>
      </c>
      <c r="U1242" s="43">
        <f>U1241+U1240</f>
        <v>19650</v>
      </c>
      <c r="V1242" s="43">
        <f t="shared" ref="V1242:AC1242" si="979">V1241+V1240</f>
        <v>18900</v>
      </c>
      <c r="W1242" s="43">
        <f t="shared" si="979"/>
        <v>18150</v>
      </c>
      <c r="X1242" s="43">
        <f t="shared" si="979"/>
        <v>12400</v>
      </c>
      <c r="Y1242" s="43">
        <f t="shared" si="979"/>
        <v>11900</v>
      </c>
      <c r="Z1242" s="499">
        <f t="shared" si="979"/>
        <v>11400</v>
      </c>
      <c r="AA1242" s="538">
        <f t="shared" si="979"/>
        <v>10900</v>
      </c>
      <c r="AB1242" s="43">
        <f t="shared" si="979"/>
        <v>10400</v>
      </c>
      <c r="AC1242" s="43">
        <f t="shared" si="979"/>
        <v>10200</v>
      </c>
      <c r="AD1242" s="41" t="s">
        <v>11</v>
      </c>
      <c r="AE1242" s="43"/>
      <c r="AF1242" s="43"/>
      <c r="AG1242" s="43"/>
      <c r="AH1242" s="43"/>
      <c r="AI1242" s="43"/>
      <c r="AJ1242" s="43"/>
      <c r="AK1242" s="43"/>
      <c r="AL1242" s="43"/>
      <c r="AM1242" s="41"/>
      <c r="AN1242" s="41"/>
      <c r="AO1242" s="41"/>
      <c r="AP1242" s="41"/>
      <c r="AQ1242" s="41"/>
      <c r="AR1242" s="41"/>
      <c r="AS1242" s="41"/>
      <c r="AT1242" s="41"/>
    </row>
    <row r="1243" spans="1:46" s="2" customFormat="1" x14ac:dyDescent="0.25">
      <c r="A1243" s="26" t="s">
        <v>102</v>
      </c>
      <c r="B1243" s="26" t="s">
        <v>96</v>
      </c>
      <c r="C1243" s="306"/>
      <c r="D1243" s="54" t="s">
        <v>3</v>
      </c>
      <c r="E1243" s="389">
        <v>43619</v>
      </c>
      <c r="F1243" s="386" t="s">
        <v>266</v>
      </c>
      <c r="G1243" s="314" t="s">
        <v>926</v>
      </c>
      <c r="H1243" s="314">
        <v>31650282</v>
      </c>
      <c r="I1243" s="314">
        <v>585013</v>
      </c>
      <c r="J1243" s="2" t="s">
        <v>1</v>
      </c>
      <c r="K1243" s="27">
        <v>55000</v>
      </c>
      <c r="L1243" s="4"/>
      <c r="M1243" s="4"/>
      <c r="N1243" s="4"/>
      <c r="O1243" s="4"/>
      <c r="P1243" s="283"/>
      <c r="Q1243" s="283"/>
      <c r="R1243" s="283"/>
      <c r="S1243" s="283"/>
      <c r="T1243" s="283">
        <v>15000</v>
      </c>
      <c r="U1243" s="283">
        <v>10000</v>
      </c>
      <c r="V1243" s="283">
        <v>10000</v>
      </c>
      <c r="W1243" s="283">
        <v>10000</v>
      </c>
      <c r="X1243" s="283">
        <v>10000</v>
      </c>
      <c r="Y1243" s="2" t="s">
        <v>11</v>
      </c>
      <c r="Z1243" s="497"/>
      <c r="AA1243" s="536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</row>
    <row r="1244" spans="1:46" s="2" customFormat="1" x14ac:dyDescent="0.25">
      <c r="A1244" s="400" t="s">
        <v>1079</v>
      </c>
      <c r="B1244" s="26"/>
      <c r="C1244" s="306"/>
      <c r="D1244" s="54"/>
      <c r="E1244" s="387" t="s">
        <v>12</v>
      </c>
      <c r="F1244" s="35"/>
      <c r="G1244" s="35" t="s">
        <v>927</v>
      </c>
      <c r="H1244" s="146" t="s">
        <v>1106</v>
      </c>
      <c r="I1244" s="35"/>
      <c r="J1244" s="17" t="s">
        <v>2</v>
      </c>
      <c r="K1244" s="388">
        <v>7734.72</v>
      </c>
      <c r="L1244" s="11"/>
      <c r="M1244" s="11"/>
      <c r="N1244" s="11"/>
      <c r="O1244" s="11"/>
      <c r="P1244" s="142"/>
      <c r="Q1244" s="142"/>
      <c r="R1244" s="142"/>
      <c r="S1244" s="142"/>
      <c r="T1244" s="142">
        <f>1359.72+1375</f>
        <v>2734.7200000000003</v>
      </c>
      <c r="U1244" s="142">
        <f>1000+1000</f>
        <v>2000</v>
      </c>
      <c r="V1244" s="142">
        <f>750+750</f>
        <v>1500</v>
      </c>
      <c r="W1244" s="142">
        <f>500+500</f>
        <v>1000</v>
      </c>
      <c r="X1244" s="142">
        <f>250+250</f>
        <v>500</v>
      </c>
      <c r="Y1244" s="17" t="s">
        <v>11</v>
      </c>
      <c r="Z1244" s="500"/>
      <c r="AA1244" s="539"/>
      <c r="AB1244" s="21"/>
      <c r="AC1244" s="21"/>
      <c r="AD1244" s="21"/>
      <c r="AE1244" s="21"/>
      <c r="AF1244" s="21"/>
      <c r="AG1244" s="21"/>
      <c r="AH1244" s="21"/>
      <c r="AI1244" s="21"/>
      <c r="AJ1244" s="21"/>
      <c r="AK1244" s="21"/>
      <c r="AL1244" s="21"/>
      <c r="AM1244" s="17"/>
      <c r="AN1244" s="17"/>
      <c r="AO1244" s="17"/>
      <c r="AP1244" s="17"/>
      <c r="AQ1244" s="17"/>
      <c r="AR1244" s="17"/>
      <c r="AS1244" s="17"/>
      <c r="AT1244" s="17"/>
    </row>
    <row r="1245" spans="1:46" s="6" customFormat="1" ht="13.8" thickBot="1" x14ac:dyDescent="0.3">
      <c r="A1245" s="409" t="s">
        <v>1115</v>
      </c>
      <c r="B1245" s="120"/>
      <c r="C1245" s="307"/>
      <c r="D1245" s="85"/>
      <c r="E1245" s="390" t="s">
        <v>160</v>
      </c>
      <c r="F1245" s="391" t="s">
        <v>412</v>
      </c>
      <c r="G1245" s="125"/>
      <c r="H1245" s="141"/>
      <c r="I1245" s="125"/>
      <c r="J1245" s="392" t="s">
        <v>5</v>
      </c>
      <c r="K1245" s="393">
        <f>K1244+K1243</f>
        <v>62734.720000000001</v>
      </c>
      <c r="L1245" s="43"/>
      <c r="M1245" s="43"/>
      <c r="N1245" s="43"/>
      <c r="O1245" s="43"/>
      <c r="P1245" s="43"/>
      <c r="Q1245" s="43"/>
      <c r="R1245" s="43"/>
      <c r="S1245" s="43"/>
      <c r="T1245" s="43">
        <f t="shared" ref="T1245" si="980">T1244+T1243</f>
        <v>17734.72</v>
      </c>
      <c r="U1245" s="43">
        <f>U1244+U1243</f>
        <v>12000</v>
      </c>
      <c r="V1245" s="43">
        <f t="shared" ref="V1245:X1245" si="981">V1244+V1243</f>
        <v>11500</v>
      </c>
      <c r="W1245" s="43">
        <f t="shared" si="981"/>
        <v>11000</v>
      </c>
      <c r="X1245" s="43">
        <f t="shared" si="981"/>
        <v>10500</v>
      </c>
      <c r="Y1245" s="41" t="s">
        <v>11</v>
      </c>
      <c r="Z1245" s="499"/>
      <c r="AA1245" s="538"/>
      <c r="AB1245" s="43"/>
      <c r="AC1245" s="43"/>
      <c r="AD1245" s="43"/>
      <c r="AE1245" s="43"/>
      <c r="AF1245" s="43"/>
      <c r="AG1245" s="43"/>
      <c r="AH1245" s="43"/>
      <c r="AI1245" s="43"/>
      <c r="AJ1245" s="43"/>
      <c r="AK1245" s="43"/>
      <c r="AL1245" s="43"/>
      <c r="AM1245" s="41"/>
      <c r="AN1245" s="41"/>
      <c r="AO1245" s="41"/>
      <c r="AP1245" s="41"/>
      <c r="AQ1245" s="41"/>
      <c r="AR1245" s="41"/>
      <c r="AS1245" s="41"/>
      <c r="AT1245" s="41"/>
    </row>
    <row r="1246" spans="1:46" s="3" customFormat="1" x14ac:dyDescent="0.25">
      <c r="A1246" s="121"/>
      <c r="B1246" s="121"/>
      <c r="C1246" s="306"/>
      <c r="D1246" s="54"/>
      <c r="E1246" s="54"/>
      <c r="F1246" s="54"/>
      <c r="G1246" s="36" t="s">
        <v>32</v>
      </c>
      <c r="H1246" s="152">
        <v>1774419</v>
      </c>
      <c r="I1246" s="36">
        <v>591100</v>
      </c>
      <c r="J1246" s="33" t="s">
        <v>1</v>
      </c>
      <c r="K1246" s="37">
        <f>K1243+K1240+K1237+K1234+K1231+K1228+K1225+K1222+K1219+K1216+K1213+K1210+K1207+K1204</f>
        <v>3505000</v>
      </c>
      <c r="L1246" s="7"/>
      <c r="M1246" s="7"/>
      <c r="N1246" s="67"/>
      <c r="O1246" s="67"/>
      <c r="P1246" s="67"/>
      <c r="Q1246" s="67"/>
      <c r="R1246" s="67"/>
      <c r="S1246" s="67"/>
      <c r="T1246" s="67">
        <f>T1243+T1240+T1237+T1234+T1231+T1228+T1225+T1222+T1219+T1216+T1213+T1210+T1207+T1204</f>
        <v>410000</v>
      </c>
      <c r="U1246" s="67">
        <f t="shared" ref="U1246:X1246" si="982">U1243+U1240+U1237+U1234+U1231+U1228+U1225+U1222+U1219+U1216+U1213+U1210+U1207+U1204</f>
        <v>400000</v>
      </c>
      <c r="V1246" s="67">
        <f t="shared" si="982"/>
        <v>390000</v>
      </c>
      <c r="W1246" s="67">
        <f t="shared" si="982"/>
        <v>370000</v>
      </c>
      <c r="X1246" s="67">
        <f t="shared" si="982"/>
        <v>355000</v>
      </c>
      <c r="Y1246" s="67">
        <f>Y1240+Y1237+Y1231+Y1228+Y1225+Y1204</f>
        <v>175000</v>
      </c>
      <c r="Z1246" s="507">
        <f t="shared" ref="Z1246:AC1246" si="983">Z1240+Z1237+Z1231+Z1228+Z1225+Z1204</f>
        <v>175000</v>
      </c>
      <c r="AA1246" s="546">
        <f t="shared" si="983"/>
        <v>170000</v>
      </c>
      <c r="AB1246" s="67">
        <f t="shared" si="983"/>
        <v>170000</v>
      </c>
      <c r="AC1246" s="67">
        <f t="shared" si="983"/>
        <v>165000</v>
      </c>
      <c r="AD1246" s="67">
        <f>AD1237+AD1231+AD1228+AD1225</f>
        <v>145000</v>
      </c>
      <c r="AE1246" s="67">
        <f t="shared" ref="AE1246:AH1246" si="984">AE1237+AE1231+AE1228+AE1225</f>
        <v>145000</v>
      </c>
      <c r="AF1246" s="67">
        <f t="shared" si="984"/>
        <v>145000</v>
      </c>
      <c r="AG1246" s="67">
        <f t="shared" si="984"/>
        <v>145000</v>
      </c>
      <c r="AH1246" s="67">
        <f t="shared" si="984"/>
        <v>145000</v>
      </c>
      <c r="AI1246" s="3" t="s">
        <v>11</v>
      </c>
      <c r="AJ1246" s="67"/>
      <c r="AK1246" s="67"/>
      <c r="AL1246" s="67"/>
    </row>
    <row r="1247" spans="1:46" s="3" customFormat="1" x14ac:dyDescent="0.25">
      <c r="A1247" s="121"/>
      <c r="B1247" s="121"/>
      <c r="C1247" s="306"/>
      <c r="D1247" s="54"/>
      <c r="E1247" s="54"/>
      <c r="F1247" s="54"/>
      <c r="G1247" s="33"/>
      <c r="H1247" s="152">
        <v>1774419</v>
      </c>
      <c r="I1247" s="33">
        <v>595100</v>
      </c>
      <c r="J1247" s="38" t="s">
        <v>2</v>
      </c>
      <c r="K1247" s="37">
        <f>K1244+K1241+K1238+K1235+K1232+K1229+K1226+K1223+K1220+K1217+K1214+K1211+K1208+K1205</f>
        <v>793070.83</v>
      </c>
      <c r="L1247" s="16"/>
      <c r="M1247" s="16"/>
      <c r="N1247" s="7"/>
      <c r="O1247" s="7"/>
      <c r="P1247" s="7"/>
      <c r="Q1247" s="7"/>
      <c r="R1247" s="7"/>
      <c r="S1247" s="7"/>
      <c r="T1247" s="7">
        <f>T1244+T1241+T1238+T1235+T1232+T1229+T1226+T1223+T1220+T1217+T1214+T1211+T1208+T1205</f>
        <v>148420.83000000002</v>
      </c>
      <c r="U1247" s="7">
        <f t="shared" ref="U1247:X1247" si="985">U1244+U1241+U1238+U1235+U1232+U1229+U1226+U1223+U1220+U1217+U1214+U1211+U1208+U1205</f>
        <v>128750</v>
      </c>
      <c r="V1247" s="7">
        <f t="shared" si="985"/>
        <v>108750</v>
      </c>
      <c r="W1247" s="7">
        <f t="shared" si="985"/>
        <v>89250</v>
      </c>
      <c r="X1247" s="7">
        <f t="shared" si="985"/>
        <v>70750</v>
      </c>
      <c r="Y1247" s="7">
        <f>Y1241+Y1238+Y1232+Y1229+Y1226+Y1205</f>
        <v>53000</v>
      </c>
      <c r="Z1247" s="501">
        <f t="shared" ref="Z1247:AC1247" si="986">Z1241+Z1238+Z1232+Z1229+Z1226+Z1205</f>
        <v>44250</v>
      </c>
      <c r="AA1247" s="540">
        <f t="shared" si="986"/>
        <v>35500</v>
      </c>
      <c r="AB1247" s="7">
        <f t="shared" si="986"/>
        <v>27000</v>
      </c>
      <c r="AC1247" s="7">
        <f t="shared" si="986"/>
        <v>23600</v>
      </c>
      <c r="AD1247" s="7">
        <f>AD1238+AD1232+AD1229+AD1226</f>
        <v>20300</v>
      </c>
      <c r="AE1247" s="7">
        <f t="shared" ref="AE1247:AH1247" si="987">AE1238+AE1232+AE1229+AE1226</f>
        <v>17400</v>
      </c>
      <c r="AF1247" s="7">
        <f t="shared" si="987"/>
        <v>13050</v>
      </c>
      <c r="AG1247" s="7">
        <f t="shared" si="987"/>
        <v>8700</v>
      </c>
      <c r="AH1247" s="7">
        <f t="shared" si="987"/>
        <v>4350</v>
      </c>
      <c r="AI1247" s="20" t="s">
        <v>11</v>
      </c>
      <c r="AJ1247" s="7"/>
      <c r="AK1247" s="7"/>
      <c r="AL1247" s="7"/>
      <c r="AM1247" s="20"/>
      <c r="AN1247" s="20"/>
      <c r="AO1247" s="20"/>
      <c r="AP1247" s="20"/>
      <c r="AQ1247" s="20"/>
      <c r="AR1247" s="20"/>
      <c r="AS1247" s="20"/>
      <c r="AT1247" s="20"/>
    </row>
    <row r="1248" spans="1:46" s="8" customFormat="1" ht="13.8" thickBot="1" x14ac:dyDescent="0.3">
      <c r="A1248" s="122"/>
      <c r="B1248" s="122"/>
      <c r="C1248" s="307"/>
      <c r="D1248" s="85"/>
      <c r="E1248" s="85"/>
      <c r="F1248" s="85"/>
      <c r="G1248" s="141" t="s">
        <v>944</v>
      </c>
      <c r="H1248" s="85"/>
      <c r="I1248" s="85"/>
      <c r="J1248" s="44" t="s">
        <v>5</v>
      </c>
      <c r="K1248" s="45">
        <f>K1247+K1246</f>
        <v>4298070.83</v>
      </c>
      <c r="L1248" s="46"/>
      <c r="M1248" s="46"/>
      <c r="N1248" s="46"/>
      <c r="O1248" s="46"/>
      <c r="P1248" s="46"/>
      <c r="Q1248" s="46"/>
      <c r="R1248" s="46"/>
      <c r="S1248" s="46"/>
      <c r="T1248" s="46">
        <f t="shared" ref="T1248:AH1248" si="988">T1247+T1246</f>
        <v>558420.83000000007</v>
      </c>
      <c r="U1248" s="46">
        <f t="shared" si="988"/>
        <v>528750</v>
      </c>
      <c r="V1248" s="46">
        <f t="shared" si="988"/>
        <v>498750</v>
      </c>
      <c r="W1248" s="46">
        <f t="shared" si="988"/>
        <v>459250</v>
      </c>
      <c r="X1248" s="46">
        <f t="shared" si="988"/>
        <v>425750</v>
      </c>
      <c r="Y1248" s="46">
        <f t="shared" si="988"/>
        <v>228000</v>
      </c>
      <c r="Z1248" s="503">
        <f t="shared" ref="Z1248:AD1248" si="989">Z1247+Z1246</f>
        <v>219250</v>
      </c>
      <c r="AA1248" s="542">
        <f t="shared" si="989"/>
        <v>205500</v>
      </c>
      <c r="AB1248" s="46">
        <f t="shared" si="989"/>
        <v>197000</v>
      </c>
      <c r="AC1248" s="46">
        <f t="shared" si="989"/>
        <v>188600</v>
      </c>
      <c r="AD1248" s="46">
        <f t="shared" si="989"/>
        <v>165300</v>
      </c>
      <c r="AE1248" s="46">
        <f t="shared" si="988"/>
        <v>162400</v>
      </c>
      <c r="AF1248" s="46">
        <f t="shared" si="988"/>
        <v>158050</v>
      </c>
      <c r="AG1248" s="46">
        <f t="shared" si="988"/>
        <v>153700</v>
      </c>
      <c r="AH1248" s="46">
        <f t="shared" si="988"/>
        <v>149350</v>
      </c>
      <c r="AI1248" s="47" t="s">
        <v>11</v>
      </c>
      <c r="AJ1248" s="46"/>
      <c r="AK1248" s="46"/>
      <c r="AL1248" s="46"/>
      <c r="AM1248" s="47"/>
      <c r="AN1248" s="47"/>
      <c r="AO1248" s="47"/>
      <c r="AP1248" s="47"/>
      <c r="AQ1248" s="47"/>
      <c r="AR1248" s="47"/>
      <c r="AS1248" s="47"/>
      <c r="AT1248" s="47"/>
    </row>
    <row r="1249" spans="1:46" s="6" customFormat="1" x14ac:dyDescent="0.25">
      <c r="A1249" s="26" t="s">
        <v>0</v>
      </c>
      <c r="B1249" s="26" t="s">
        <v>96</v>
      </c>
      <c r="C1249" s="306"/>
      <c r="D1249" s="332" t="s">
        <v>0</v>
      </c>
      <c r="E1249" s="24">
        <v>43619</v>
      </c>
      <c r="F1249" s="24" t="s">
        <v>266</v>
      </c>
      <c r="G1249" s="315" t="s">
        <v>113</v>
      </c>
      <c r="H1249" s="315">
        <v>60310282</v>
      </c>
      <c r="I1249" s="315">
        <v>584009</v>
      </c>
      <c r="J1249" s="2" t="s">
        <v>1</v>
      </c>
      <c r="K1249" s="396">
        <v>945000</v>
      </c>
      <c r="L1249" s="4"/>
      <c r="M1249" s="4"/>
      <c r="N1249" s="4"/>
      <c r="O1249" s="4"/>
      <c r="P1249" s="283"/>
      <c r="Q1249" s="283"/>
      <c r="R1249" s="283"/>
      <c r="S1249" s="283"/>
      <c r="T1249" s="283">
        <v>50000</v>
      </c>
      <c r="U1249" s="283">
        <v>50000</v>
      </c>
      <c r="V1249" s="283">
        <v>50000</v>
      </c>
      <c r="W1249" s="283">
        <v>50000</v>
      </c>
      <c r="X1249" s="283">
        <v>50000</v>
      </c>
      <c r="Y1249" s="283">
        <v>50000</v>
      </c>
      <c r="Z1249" s="497">
        <v>50000</v>
      </c>
      <c r="AA1249" s="536">
        <v>50000</v>
      </c>
      <c r="AB1249" s="5">
        <v>50000</v>
      </c>
      <c r="AC1249" s="5">
        <v>45000</v>
      </c>
      <c r="AD1249" s="5">
        <v>45000</v>
      </c>
      <c r="AE1249" s="5">
        <v>45000</v>
      </c>
      <c r="AF1249" s="5">
        <v>45000</v>
      </c>
      <c r="AG1249" s="5">
        <v>45000</v>
      </c>
      <c r="AH1249" s="5">
        <v>45000</v>
      </c>
      <c r="AI1249" s="5">
        <v>45000</v>
      </c>
      <c r="AJ1249" s="5">
        <v>45000</v>
      </c>
      <c r="AK1249" s="5">
        <v>45000</v>
      </c>
      <c r="AL1249" s="5">
        <v>45000</v>
      </c>
      <c r="AM1249" s="5">
        <v>45000</v>
      </c>
      <c r="AN1249" s="2" t="s">
        <v>11</v>
      </c>
      <c r="AO1249" s="2"/>
      <c r="AP1249" s="2"/>
      <c r="AQ1249" s="2"/>
      <c r="AR1249" s="2"/>
      <c r="AS1249" s="2"/>
      <c r="AT1249" s="2"/>
    </row>
    <row r="1250" spans="1:46" s="6" customFormat="1" x14ac:dyDescent="0.25">
      <c r="A1250" s="400" t="s">
        <v>1239</v>
      </c>
      <c r="B1250" s="26"/>
      <c r="C1250" s="306"/>
      <c r="D1250" s="352"/>
      <c r="E1250" s="24" t="s">
        <v>12</v>
      </c>
      <c r="F1250" s="15"/>
      <c r="G1250" s="15" t="s">
        <v>928</v>
      </c>
      <c r="H1250" s="15" t="s">
        <v>1108</v>
      </c>
      <c r="I1250" s="15"/>
      <c r="J1250" s="17" t="s">
        <v>2</v>
      </c>
      <c r="K1250" s="388">
        <v>312105.83</v>
      </c>
      <c r="L1250" s="11"/>
      <c r="M1250" s="11"/>
      <c r="N1250" s="11"/>
      <c r="O1250" s="11"/>
      <c r="P1250" s="142"/>
      <c r="Q1250" s="142"/>
      <c r="R1250" s="142"/>
      <c r="S1250" s="142"/>
      <c r="T1250" s="142">
        <f>17280.83+17475</f>
        <v>34755.83</v>
      </c>
      <c r="U1250" s="142">
        <f>16225+16225</f>
        <v>32450</v>
      </c>
      <c r="V1250" s="142">
        <f>14975+14975</f>
        <v>29950</v>
      </c>
      <c r="W1250" s="142">
        <f>13725+13725</f>
        <v>27450</v>
      </c>
      <c r="X1250" s="142">
        <f>12475+12475</f>
        <v>24950</v>
      </c>
      <c r="Y1250" s="142">
        <f>11225+11225</f>
        <v>22450</v>
      </c>
      <c r="Z1250" s="500">
        <f>9975+9975</f>
        <v>19950</v>
      </c>
      <c r="AA1250" s="539">
        <f>8725+8725</f>
        <v>17450</v>
      </c>
      <c r="AB1250" s="21">
        <f>7475+7475</f>
        <v>14950</v>
      </c>
      <c r="AC1250" s="21">
        <f>6975+6975</f>
        <v>13950</v>
      </c>
      <c r="AD1250" s="21">
        <f>6525+6525</f>
        <v>13050</v>
      </c>
      <c r="AE1250" s="21">
        <f>6075+6075</f>
        <v>12150</v>
      </c>
      <c r="AF1250" s="21">
        <f>5400+5400</f>
        <v>10800</v>
      </c>
      <c r="AG1250" s="21">
        <f>4725+4725</f>
        <v>9450</v>
      </c>
      <c r="AH1250" s="21">
        <f>4050+4050</f>
        <v>8100</v>
      </c>
      <c r="AI1250" s="21">
        <f>3375+3375</f>
        <v>6750</v>
      </c>
      <c r="AJ1250" s="21">
        <f>2700+2700</f>
        <v>5400</v>
      </c>
      <c r="AK1250" s="21">
        <f>2025+2025</f>
        <v>4050</v>
      </c>
      <c r="AL1250" s="21">
        <f>1350+1350</f>
        <v>2700</v>
      </c>
      <c r="AM1250" s="21">
        <f>675+675</f>
        <v>1350</v>
      </c>
      <c r="AN1250" s="17" t="s">
        <v>11</v>
      </c>
      <c r="AO1250" s="17"/>
      <c r="AP1250" s="17"/>
      <c r="AQ1250" s="17"/>
      <c r="AR1250" s="17"/>
      <c r="AS1250" s="17"/>
      <c r="AT1250" s="17"/>
    </row>
    <row r="1251" spans="1:46" s="6" customFormat="1" ht="13.8" thickBot="1" x14ac:dyDescent="0.3">
      <c r="A1251" s="409" t="s">
        <v>1115</v>
      </c>
      <c r="B1251" s="120"/>
      <c r="C1251" s="307"/>
      <c r="D1251" s="353"/>
      <c r="E1251" s="88" t="s">
        <v>14</v>
      </c>
      <c r="F1251" s="397" t="s">
        <v>406</v>
      </c>
      <c r="G1251" s="149" t="s">
        <v>938</v>
      </c>
      <c r="H1251" s="143"/>
      <c r="I1251" s="143"/>
      <c r="J1251" s="392" t="s">
        <v>5</v>
      </c>
      <c r="K1251" s="393">
        <f>K1250+K1249</f>
        <v>1257105.83</v>
      </c>
      <c r="L1251" s="43"/>
      <c r="M1251" s="43"/>
      <c r="N1251" s="43"/>
      <c r="O1251" s="43"/>
      <c r="P1251" s="43"/>
      <c r="Q1251" s="43"/>
      <c r="R1251" s="43"/>
      <c r="S1251" s="43"/>
      <c r="T1251" s="43">
        <f t="shared" ref="T1251:AH1251" si="990">T1250+T1249</f>
        <v>84755.83</v>
      </c>
      <c r="U1251" s="43">
        <f t="shared" si="990"/>
        <v>82450</v>
      </c>
      <c r="V1251" s="43">
        <f t="shared" si="990"/>
        <v>79950</v>
      </c>
      <c r="W1251" s="43">
        <f t="shared" si="990"/>
        <v>77450</v>
      </c>
      <c r="X1251" s="43">
        <f t="shared" si="990"/>
        <v>74950</v>
      </c>
      <c r="Y1251" s="43">
        <f t="shared" si="990"/>
        <v>72450</v>
      </c>
      <c r="Z1251" s="499">
        <f t="shared" si="990"/>
        <v>69950</v>
      </c>
      <c r="AA1251" s="538">
        <f t="shared" si="990"/>
        <v>67450</v>
      </c>
      <c r="AB1251" s="43">
        <f t="shared" si="990"/>
        <v>64950</v>
      </c>
      <c r="AC1251" s="43">
        <f t="shared" si="990"/>
        <v>58950</v>
      </c>
      <c r="AD1251" s="43">
        <f t="shared" si="990"/>
        <v>58050</v>
      </c>
      <c r="AE1251" s="43">
        <f t="shared" si="990"/>
        <v>57150</v>
      </c>
      <c r="AF1251" s="43">
        <f t="shared" si="990"/>
        <v>55800</v>
      </c>
      <c r="AG1251" s="43">
        <f t="shared" si="990"/>
        <v>54450</v>
      </c>
      <c r="AH1251" s="43">
        <f t="shared" si="990"/>
        <v>53100</v>
      </c>
      <c r="AI1251" s="43">
        <f t="shared" ref="AI1251:AM1251" si="991">AI1250+AI1249</f>
        <v>51750</v>
      </c>
      <c r="AJ1251" s="43">
        <f t="shared" si="991"/>
        <v>50400</v>
      </c>
      <c r="AK1251" s="43">
        <f t="shared" si="991"/>
        <v>49050</v>
      </c>
      <c r="AL1251" s="43">
        <f t="shared" si="991"/>
        <v>47700</v>
      </c>
      <c r="AM1251" s="43">
        <f t="shared" si="991"/>
        <v>46350</v>
      </c>
      <c r="AN1251" s="41" t="s">
        <v>11</v>
      </c>
      <c r="AO1251" s="41"/>
      <c r="AP1251" s="41"/>
      <c r="AQ1251" s="41"/>
      <c r="AR1251" s="41"/>
      <c r="AS1251" s="41"/>
      <c r="AT1251" s="41"/>
    </row>
    <row r="1252" spans="1:46" s="8" customFormat="1" x14ac:dyDescent="0.25">
      <c r="A1252" s="121"/>
      <c r="B1252" s="121"/>
      <c r="C1252" s="306"/>
      <c r="D1252" s="332"/>
      <c r="E1252" s="332"/>
      <c r="F1252" s="332"/>
      <c r="G1252" s="13" t="s">
        <v>33</v>
      </c>
      <c r="H1252" s="13">
        <v>60774419</v>
      </c>
      <c r="I1252" s="13">
        <v>591100</v>
      </c>
      <c r="J1252" s="14" t="s">
        <v>1</v>
      </c>
      <c r="K1252" s="29">
        <f>K1249</f>
        <v>945000</v>
      </c>
      <c r="L1252" s="7"/>
      <c r="M1252" s="7"/>
      <c r="N1252" s="67"/>
      <c r="O1252" s="67"/>
      <c r="P1252" s="67"/>
      <c r="Q1252" s="67"/>
      <c r="R1252" s="67"/>
      <c r="S1252" s="67"/>
      <c r="T1252" s="67">
        <f t="shared" ref="T1252" si="992">T1249</f>
        <v>50000</v>
      </c>
      <c r="U1252" s="67">
        <f>U1249</f>
        <v>50000</v>
      </c>
      <c r="V1252" s="67">
        <f t="shared" ref="V1252:AM1252" si="993">V1249</f>
        <v>50000</v>
      </c>
      <c r="W1252" s="67">
        <f t="shared" si="993"/>
        <v>50000</v>
      </c>
      <c r="X1252" s="67">
        <f t="shared" si="993"/>
        <v>50000</v>
      </c>
      <c r="Y1252" s="67">
        <f t="shared" si="993"/>
        <v>50000</v>
      </c>
      <c r="Z1252" s="507">
        <f t="shared" si="993"/>
        <v>50000</v>
      </c>
      <c r="AA1252" s="546">
        <f t="shared" si="993"/>
        <v>50000</v>
      </c>
      <c r="AB1252" s="67">
        <f t="shared" si="993"/>
        <v>50000</v>
      </c>
      <c r="AC1252" s="67">
        <f t="shared" si="993"/>
        <v>45000</v>
      </c>
      <c r="AD1252" s="67">
        <f t="shared" si="993"/>
        <v>45000</v>
      </c>
      <c r="AE1252" s="67">
        <f t="shared" si="993"/>
        <v>45000</v>
      </c>
      <c r="AF1252" s="67">
        <f t="shared" si="993"/>
        <v>45000</v>
      </c>
      <c r="AG1252" s="67">
        <f t="shared" si="993"/>
        <v>45000</v>
      </c>
      <c r="AH1252" s="67">
        <f t="shared" si="993"/>
        <v>45000</v>
      </c>
      <c r="AI1252" s="67">
        <f t="shared" si="993"/>
        <v>45000</v>
      </c>
      <c r="AJ1252" s="67">
        <f t="shared" si="993"/>
        <v>45000</v>
      </c>
      <c r="AK1252" s="67">
        <f t="shared" si="993"/>
        <v>45000</v>
      </c>
      <c r="AL1252" s="67">
        <f t="shared" si="993"/>
        <v>45000</v>
      </c>
      <c r="AM1252" s="67">
        <f t="shared" si="993"/>
        <v>45000</v>
      </c>
      <c r="AN1252" s="3" t="s">
        <v>11</v>
      </c>
      <c r="AO1252" s="3"/>
      <c r="AP1252" s="3"/>
      <c r="AQ1252" s="3"/>
      <c r="AR1252" s="3"/>
      <c r="AS1252" s="3"/>
      <c r="AT1252" s="3"/>
    </row>
    <row r="1253" spans="1:46" s="8" customFormat="1" x14ac:dyDescent="0.25">
      <c r="A1253" s="121"/>
      <c r="B1253" s="121"/>
      <c r="C1253" s="306"/>
      <c r="D1253" s="14"/>
      <c r="E1253" s="14"/>
      <c r="F1253" s="14"/>
      <c r="G1253" s="14"/>
      <c r="H1253" s="13">
        <v>60774419</v>
      </c>
      <c r="I1253" s="14">
        <v>595100</v>
      </c>
      <c r="J1253" s="18" t="s">
        <v>2</v>
      </c>
      <c r="K1253" s="30">
        <f>K1250</f>
        <v>312105.83</v>
      </c>
      <c r="L1253" s="16"/>
      <c r="M1253" s="16"/>
      <c r="N1253" s="16"/>
      <c r="O1253" s="16"/>
      <c r="P1253" s="16"/>
      <c r="Q1253" s="16"/>
      <c r="R1253" s="16"/>
      <c r="S1253" s="16"/>
      <c r="T1253" s="16">
        <f t="shared" ref="T1253" si="994">T1250</f>
        <v>34755.83</v>
      </c>
      <c r="U1253" s="7">
        <f>U1250</f>
        <v>32450</v>
      </c>
      <c r="V1253" s="7">
        <f t="shared" ref="V1253:AM1253" si="995">V1250</f>
        <v>29950</v>
      </c>
      <c r="W1253" s="7">
        <f t="shared" si="995"/>
        <v>27450</v>
      </c>
      <c r="X1253" s="7">
        <f t="shared" si="995"/>
        <v>24950</v>
      </c>
      <c r="Y1253" s="7">
        <f t="shared" si="995"/>
        <v>22450</v>
      </c>
      <c r="Z1253" s="501">
        <f t="shared" si="995"/>
        <v>19950</v>
      </c>
      <c r="AA1253" s="540">
        <f t="shared" si="995"/>
        <v>17450</v>
      </c>
      <c r="AB1253" s="7">
        <f t="shared" si="995"/>
        <v>14950</v>
      </c>
      <c r="AC1253" s="7">
        <f t="shared" si="995"/>
        <v>13950</v>
      </c>
      <c r="AD1253" s="7">
        <f t="shared" si="995"/>
        <v>13050</v>
      </c>
      <c r="AE1253" s="7">
        <f t="shared" si="995"/>
        <v>12150</v>
      </c>
      <c r="AF1253" s="7">
        <f t="shared" si="995"/>
        <v>10800</v>
      </c>
      <c r="AG1253" s="7">
        <f t="shared" si="995"/>
        <v>9450</v>
      </c>
      <c r="AH1253" s="7">
        <f t="shared" si="995"/>
        <v>8100</v>
      </c>
      <c r="AI1253" s="7">
        <f t="shared" si="995"/>
        <v>6750</v>
      </c>
      <c r="AJ1253" s="7">
        <f t="shared" si="995"/>
        <v>5400</v>
      </c>
      <c r="AK1253" s="7">
        <f t="shared" si="995"/>
        <v>4050</v>
      </c>
      <c r="AL1253" s="7">
        <f t="shared" si="995"/>
        <v>2700</v>
      </c>
      <c r="AM1253" s="7">
        <f t="shared" si="995"/>
        <v>1350</v>
      </c>
      <c r="AN1253" s="20" t="s">
        <v>11</v>
      </c>
      <c r="AO1253" s="20"/>
      <c r="AP1253" s="20"/>
      <c r="AQ1253" s="20"/>
      <c r="AR1253" s="20"/>
      <c r="AS1253" s="20"/>
      <c r="AT1253" s="20"/>
    </row>
    <row r="1254" spans="1:46" s="8" customFormat="1" ht="13.8" thickBot="1" x14ac:dyDescent="0.3">
      <c r="A1254" s="122"/>
      <c r="B1254" s="122"/>
      <c r="C1254" s="307"/>
      <c r="D1254" s="87"/>
      <c r="E1254" s="87"/>
      <c r="F1254" s="87"/>
      <c r="G1254" s="149" t="s">
        <v>938</v>
      </c>
      <c r="H1254" s="87"/>
      <c r="I1254" s="87"/>
      <c r="J1254" s="50" t="s">
        <v>5</v>
      </c>
      <c r="K1254" s="51">
        <f>K1253+K1252</f>
        <v>1257105.83</v>
      </c>
      <c r="L1254" s="46"/>
      <c r="M1254" s="46"/>
      <c r="N1254" s="46"/>
      <c r="O1254" s="46"/>
      <c r="P1254" s="46"/>
      <c r="Q1254" s="46"/>
      <c r="R1254" s="46"/>
      <c r="S1254" s="46"/>
      <c r="T1254" s="46">
        <f t="shared" ref="T1254:U1254" si="996">T1253+T1252</f>
        <v>84755.83</v>
      </c>
      <c r="U1254" s="46">
        <f t="shared" si="996"/>
        <v>82450</v>
      </c>
      <c r="V1254" s="46">
        <f t="shared" ref="V1254:AM1254" si="997">V1253+V1252</f>
        <v>79950</v>
      </c>
      <c r="W1254" s="46">
        <f t="shared" si="997"/>
        <v>77450</v>
      </c>
      <c r="X1254" s="46">
        <f t="shared" si="997"/>
        <v>74950</v>
      </c>
      <c r="Y1254" s="46">
        <f t="shared" si="997"/>
        <v>72450</v>
      </c>
      <c r="Z1254" s="503">
        <f t="shared" si="997"/>
        <v>69950</v>
      </c>
      <c r="AA1254" s="542">
        <f t="shared" si="997"/>
        <v>67450</v>
      </c>
      <c r="AB1254" s="46">
        <f t="shared" si="997"/>
        <v>64950</v>
      </c>
      <c r="AC1254" s="46">
        <f t="shared" si="997"/>
        <v>58950</v>
      </c>
      <c r="AD1254" s="46">
        <f t="shared" si="997"/>
        <v>58050</v>
      </c>
      <c r="AE1254" s="46">
        <f t="shared" si="997"/>
        <v>57150</v>
      </c>
      <c r="AF1254" s="46">
        <f t="shared" si="997"/>
        <v>55800</v>
      </c>
      <c r="AG1254" s="46">
        <f t="shared" si="997"/>
        <v>54450</v>
      </c>
      <c r="AH1254" s="46">
        <f t="shared" si="997"/>
        <v>53100</v>
      </c>
      <c r="AI1254" s="46">
        <f t="shared" si="997"/>
        <v>51750</v>
      </c>
      <c r="AJ1254" s="46">
        <f t="shared" si="997"/>
        <v>50400</v>
      </c>
      <c r="AK1254" s="46">
        <f t="shared" si="997"/>
        <v>49050</v>
      </c>
      <c r="AL1254" s="46">
        <f t="shared" si="997"/>
        <v>47700</v>
      </c>
      <c r="AM1254" s="46">
        <f t="shared" si="997"/>
        <v>46350</v>
      </c>
      <c r="AN1254" s="47" t="s">
        <v>11</v>
      </c>
      <c r="AO1254" s="47"/>
      <c r="AP1254" s="47"/>
      <c r="AQ1254" s="47"/>
      <c r="AR1254" s="47"/>
      <c r="AS1254" s="47"/>
      <c r="AT1254" s="47"/>
    </row>
    <row r="1255" spans="1:46" s="6" customFormat="1" x14ac:dyDescent="0.25">
      <c r="A1255" s="26" t="s">
        <v>4</v>
      </c>
      <c r="B1255" s="26" t="s">
        <v>97</v>
      </c>
      <c r="C1255" s="306"/>
      <c r="D1255" s="10" t="s">
        <v>4</v>
      </c>
      <c r="E1255" s="25">
        <v>43619</v>
      </c>
      <c r="F1255" s="25" t="s">
        <v>267</v>
      </c>
      <c r="G1255" s="316" t="s">
        <v>794</v>
      </c>
      <c r="H1255" s="316">
        <v>61310282</v>
      </c>
      <c r="I1255" s="316">
        <v>586100</v>
      </c>
      <c r="J1255" s="2" t="s">
        <v>1</v>
      </c>
      <c r="K1255" s="27">
        <v>1230000</v>
      </c>
      <c r="L1255" s="4"/>
      <c r="M1255" s="4"/>
      <c r="N1255" s="4"/>
      <c r="O1255" s="4"/>
      <c r="P1255" s="283"/>
      <c r="Q1255" s="283"/>
      <c r="R1255" s="283"/>
      <c r="S1255" s="283"/>
      <c r="T1255" s="283">
        <v>65000</v>
      </c>
      <c r="U1255" s="283">
        <v>65000</v>
      </c>
      <c r="V1255" s="283">
        <v>65000</v>
      </c>
      <c r="W1255" s="283">
        <v>65000</v>
      </c>
      <c r="X1255" s="283">
        <v>65000</v>
      </c>
      <c r="Y1255" s="283">
        <v>65000</v>
      </c>
      <c r="Z1255" s="497">
        <v>60000</v>
      </c>
      <c r="AA1255" s="536">
        <v>60000</v>
      </c>
      <c r="AB1255" s="5">
        <v>60000</v>
      </c>
      <c r="AC1255" s="5">
        <v>60000</v>
      </c>
      <c r="AD1255" s="5">
        <v>60000</v>
      </c>
      <c r="AE1255" s="5">
        <v>60000</v>
      </c>
      <c r="AF1255" s="5">
        <v>60000</v>
      </c>
      <c r="AG1255" s="5">
        <v>60000</v>
      </c>
      <c r="AH1255" s="5">
        <v>60000</v>
      </c>
      <c r="AI1255" s="5">
        <v>60000</v>
      </c>
      <c r="AJ1255" s="5">
        <v>60000</v>
      </c>
      <c r="AK1255" s="5">
        <v>60000</v>
      </c>
      <c r="AL1255" s="5">
        <v>60000</v>
      </c>
      <c r="AM1255" s="5">
        <v>60000</v>
      </c>
      <c r="AN1255" s="2" t="s">
        <v>11</v>
      </c>
      <c r="AO1255" s="2"/>
      <c r="AP1255" s="2"/>
      <c r="AQ1255" s="2"/>
      <c r="AR1255" s="2"/>
      <c r="AS1255" s="2"/>
      <c r="AT1255" s="2"/>
    </row>
    <row r="1256" spans="1:46" s="6" customFormat="1" x14ac:dyDescent="0.25">
      <c r="A1256" s="400" t="s">
        <v>1240</v>
      </c>
      <c r="B1256" s="26"/>
      <c r="C1256" s="306"/>
      <c r="D1256" s="84"/>
      <c r="E1256" s="317" t="s">
        <v>13</v>
      </c>
      <c r="F1256" s="25"/>
      <c r="G1256" s="12" t="s">
        <v>929</v>
      </c>
      <c r="H1256" s="402" t="s">
        <v>1108</v>
      </c>
      <c r="I1256" s="12"/>
      <c r="J1256" s="17" t="s">
        <v>2</v>
      </c>
      <c r="K1256" s="388">
        <v>408198.33</v>
      </c>
      <c r="L1256" s="11"/>
      <c r="M1256" s="11"/>
      <c r="N1256" s="11"/>
      <c r="O1256" s="11"/>
      <c r="P1256" s="142"/>
      <c r="Q1256" s="142"/>
      <c r="R1256" s="142"/>
      <c r="S1256" s="142"/>
      <c r="T1256" s="142">
        <f>22398.33+22650</f>
        <v>45048.33</v>
      </c>
      <c r="U1256" s="142">
        <f>21025+21025</f>
        <v>42050</v>
      </c>
      <c r="V1256" s="142">
        <f>19400+19400</f>
        <v>38800</v>
      </c>
      <c r="W1256" s="142">
        <f>17775+17775</f>
        <v>35550</v>
      </c>
      <c r="X1256" s="142">
        <f>16150+16150</f>
        <v>32300</v>
      </c>
      <c r="Y1256" s="142">
        <f>14525+14525</f>
        <v>29050</v>
      </c>
      <c r="Z1256" s="500">
        <f>12900+12900</f>
        <v>25800</v>
      </c>
      <c r="AA1256" s="539">
        <f>11400+11400</f>
        <v>22800</v>
      </c>
      <c r="AB1256" s="21">
        <f>9900+9900</f>
        <v>19800</v>
      </c>
      <c r="AC1256" s="21">
        <f>9300+9300</f>
        <v>18600</v>
      </c>
      <c r="AD1256" s="21">
        <f>8700+8700</f>
        <v>17400</v>
      </c>
      <c r="AE1256" s="21">
        <f>8100+8100</f>
        <v>16200</v>
      </c>
      <c r="AF1256" s="21">
        <f>7200+7200</f>
        <v>14400</v>
      </c>
      <c r="AG1256" s="21">
        <f>6300+6300</f>
        <v>12600</v>
      </c>
      <c r="AH1256" s="21">
        <f>5400+5400</f>
        <v>10800</v>
      </c>
      <c r="AI1256" s="21">
        <f>4500+4500</f>
        <v>9000</v>
      </c>
      <c r="AJ1256" s="21">
        <f>3600+3600</f>
        <v>7200</v>
      </c>
      <c r="AK1256" s="21">
        <f>2700+2700</f>
        <v>5400</v>
      </c>
      <c r="AL1256" s="21">
        <f>1800+1800</f>
        <v>3600</v>
      </c>
      <c r="AM1256" s="21">
        <f>900+900</f>
        <v>1800</v>
      </c>
      <c r="AN1256" s="17" t="s">
        <v>11</v>
      </c>
      <c r="AO1256" s="17"/>
      <c r="AP1256" s="17"/>
      <c r="AQ1256" s="17"/>
      <c r="AR1256" s="17"/>
      <c r="AS1256" s="17"/>
      <c r="AT1256" s="17"/>
    </row>
    <row r="1257" spans="1:46" s="6" customFormat="1" ht="13.8" thickBot="1" x14ac:dyDescent="0.3">
      <c r="A1257" s="409" t="s">
        <v>1115</v>
      </c>
      <c r="B1257" s="120"/>
      <c r="C1257" s="307"/>
      <c r="D1257" s="89"/>
      <c r="E1257" s="90" t="s">
        <v>16</v>
      </c>
      <c r="F1257" s="398" t="s">
        <v>407</v>
      </c>
      <c r="G1257" s="355" t="s">
        <v>939</v>
      </c>
      <c r="H1257" s="124"/>
      <c r="I1257" s="124"/>
      <c r="J1257" s="392" t="s">
        <v>5</v>
      </c>
      <c r="K1257" s="393">
        <f>K1256+K1255</f>
        <v>1638198.33</v>
      </c>
      <c r="L1257" s="43"/>
      <c r="M1257" s="43"/>
      <c r="N1257" s="43"/>
      <c r="O1257" s="43"/>
      <c r="P1257" s="43"/>
      <c r="Q1257" s="43"/>
      <c r="R1257" s="43"/>
      <c r="S1257" s="43"/>
      <c r="T1257" s="43">
        <f t="shared" ref="T1257:AH1257" si="998">T1256+T1255</f>
        <v>110048.33</v>
      </c>
      <c r="U1257" s="43">
        <f t="shared" si="998"/>
        <v>107050</v>
      </c>
      <c r="V1257" s="43">
        <f t="shared" si="998"/>
        <v>103800</v>
      </c>
      <c r="W1257" s="43">
        <f t="shared" si="998"/>
        <v>100550</v>
      </c>
      <c r="X1257" s="43">
        <f t="shared" si="998"/>
        <v>97300</v>
      </c>
      <c r="Y1257" s="43">
        <f t="shared" si="998"/>
        <v>94050</v>
      </c>
      <c r="Z1257" s="499">
        <f t="shared" si="998"/>
        <v>85800</v>
      </c>
      <c r="AA1257" s="538">
        <f t="shared" si="998"/>
        <v>82800</v>
      </c>
      <c r="AB1257" s="43">
        <f t="shared" si="998"/>
        <v>79800</v>
      </c>
      <c r="AC1257" s="43">
        <f t="shared" si="998"/>
        <v>78600</v>
      </c>
      <c r="AD1257" s="43">
        <f t="shared" si="998"/>
        <v>77400</v>
      </c>
      <c r="AE1257" s="43">
        <f t="shared" si="998"/>
        <v>76200</v>
      </c>
      <c r="AF1257" s="43">
        <f t="shared" si="998"/>
        <v>74400</v>
      </c>
      <c r="AG1257" s="43">
        <f t="shared" si="998"/>
        <v>72600</v>
      </c>
      <c r="AH1257" s="43">
        <f t="shared" si="998"/>
        <v>70800</v>
      </c>
      <c r="AI1257" s="43">
        <f t="shared" ref="AI1257:AM1257" si="999">AI1256+AI1255</f>
        <v>69000</v>
      </c>
      <c r="AJ1257" s="43">
        <f t="shared" si="999"/>
        <v>67200</v>
      </c>
      <c r="AK1257" s="43">
        <f t="shared" si="999"/>
        <v>65400</v>
      </c>
      <c r="AL1257" s="43">
        <f t="shared" si="999"/>
        <v>63600</v>
      </c>
      <c r="AM1257" s="43">
        <f t="shared" si="999"/>
        <v>61800</v>
      </c>
      <c r="AN1257" s="41" t="s">
        <v>11</v>
      </c>
      <c r="AO1257" s="41"/>
      <c r="AP1257" s="41"/>
      <c r="AQ1257" s="41"/>
      <c r="AR1257" s="41"/>
      <c r="AS1257" s="41"/>
      <c r="AT1257" s="41"/>
    </row>
    <row r="1258" spans="1:46" s="8" customFormat="1" x14ac:dyDescent="0.25">
      <c r="A1258" s="121"/>
      <c r="B1258" s="121"/>
      <c r="C1258" s="306"/>
      <c r="D1258" s="55"/>
      <c r="E1258" s="55"/>
      <c r="F1258" s="55"/>
      <c r="G1258" s="9" t="s">
        <v>7</v>
      </c>
      <c r="H1258" s="9">
        <v>61774419</v>
      </c>
      <c r="I1258" s="9">
        <v>591100</v>
      </c>
      <c r="J1258" s="10" t="s">
        <v>1</v>
      </c>
      <c r="K1258" s="31">
        <f>K1255</f>
        <v>1230000</v>
      </c>
      <c r="L1258" s="7"/>
      <c r="M1258" s="7"/>
      <c r="N1258" s="67"/>
      <c r="O1258" s="67"/>
      <c r="P1258" s="67"/>
      <c r="Q1258" s="67"/>
      <c r="R1258" s="67"/>
      <c r="S1258" s="67"/>
      <c r="T1258" s="67">
        <f>T1255</f>
        <v>65000</v>
      </c>
      <c r="U1258" s="67">
        <f>U1255</f>
        <v>65000</v>
      </c>
      <c r="V1258" s="67">
        <f t="shared" ref="V1258:AM1258" si="1000">V1255</f>
        <v>65000</v>
      </c>
      <c r="W1258" s="67">
        <f t="shared" si="1000"/>
        <v>65000</v>
      </c>
      <c r="X1258" s="67">
        <f t="shared" si="1000"/>
        <v>65000</v>
      </c>
      <c r="Y1258" s="67">
        <f t="shared" si="1000"/>
        <v>65000</v>
      </c>
      <c r="Z1258" s="507">
        <f t="shared" si="1000"/>
        <v>60000</v>
      </c>
      <c r="AA1258" s="546">
        <f t="shared" si="1000"/>
        <v>60000</v>
      </c>
      <c r="AB1258" s="67">
        <f t="shared" si="1000"/>
        <v>60000</v>
      </c>
      <c r="AC1258" s="67">
        <f t="shared" si="1000"/>
        <v>60000</v>
      </c>
      <c r="AD1258" s="67">
        <f t="shared" si="1000"/>
        <v>60000</v>
      </c>
      <c r="AE1258" s="67">
        <f t="shared" si="1000"/>
        <v>60000</v>
      </c>
      <c r="AF1258" s="67">
        <f t="shared" si="1000"/>
        <v>60000</v>
      </c>
      <c r="AG1258" s="67">
        <f t="shared" si="1000"/>
        <v>60000</v>
      </c>
      <c r="AH1258" s="67">
        <f t="shared" si="1000"/>
        <v>60000</v>
      </c>
      <c r="AI1258" s="67">
        <f t="shared" si="1000"/>
        <v>60000</v>
      </c>
      <c r="AJ1258" s="67">
        <f t="shared" si="1000"/>
        <v>60000</v>
      </c>
      <c r="AK1258" s="67">
        <f t="shared" si="1000"/>
        <v>60000</v>
      </c>
      <c r="AL1258" s="67">
        <f t="shared" si="1000"/>
        <v>60000</v>
      </c>
      <c r="AM1258" s="67">
        <f t="shared" si="1000"/>
        <v>60000</v>
      </c>
      <c r="AN1258" s="3" t="s">
        <v>11</v>
      </c>
      <c r="AO1258" s="3"/>
      <c r="AP1258" s="3"/>
      <c r="AQ1258" s="3"/>
      <c r="AR1258" s="3"/>
      <c r="AS1258" s="3"/>
      <c r="AT1258" s="3"/>
    </row>
    <row r="1259" spans="1:46" s="8" customFormat="1" x14ac:dyDescent="0.25">
      <c r="A1259" s="121"/>
      <c r="B1259" s="121"/>
      <c r="C1259" s="306"/>
      <c r="D1259" s="10"/>
      <c r="E1259" s="10"/>
      <c r="F1259" s="10"/>
      <c r="G1259" s="10"/>
      <c r="H1259" s="9">
        <v>61774419</v>
      </c>
      <c r="I1259" s="10">
        <v>595100</v>
      </c>
      <c r="J1259" s="19" t="s">
        <v>2</v>
      </c>
      <c r="K1259" s="31">
        <f>K1256</f>
        <v>408198.33</v>
      </c>
      <c r="L1259" s="16"/>
      <c r="M1259" s="16"/>
      <c r="N1259" s="16"/>
      <c r="O1259" s="16"/>
      <c r="P1259" s="16"/>
      <c r="Q1259" s="16"/>
      <c r="R1259" s="16"/>
      <c r="S1259" s="16"/>
      <c r="T1259" s="16">
        <f>T1256</f>
        <v>45048.33</v>
      </c>
      <c r="U1259" s="16">
        <f>U1256</f>
        <v>42050</v>
      </c>
      <c r="V1259" s="16">
        <f t="shared" ref="V1259:AM1259" si="1001">V1256</f>
        <v>38800</v>
      </c>
      <c r="W1259" s="16">
        <f t="shared" si="1001"/>
        <v>35550</v>
      </c>
      <c r="X1259" s="16">
        <f t="shared" si="1001"/>
        <v>32300</v>
      </c>
      <c r="Y1259" s="16">
        <f t="shared" si="1001"/>
        <v>29050</v>
      </c>
      <c r="Z1259" s="502">
        <f t="shared" si="1001"/>
        <v>25800</v>
      </c>
      <c r="AA1259" s="541">
        <f t="shared" si="1001"/>
        <v>22800</v>
      </c>
      <c r="AB1259" s="16">
        <f t="shared" si="1001"/>
        <v>19800</v>
      </c>
      <c r="AC1259" s="16">
        <f t="shared" si="1001"/>
        <v>18600</v>
      </c>
      <c r="AD1259" s="16">
        <f t="shared" si="1001"/>
        <v>17400</v>
      </c>
      <c r="AE1259" s="16">
        <f t="shared" si="1001"/>
        <v>16200</v>
      </c>
      <c r="AF1259" s="16">
        <f t="shared" si="1001"/>
        <v>14400</v>
      </c>
      <c r="AG1259" s="16">
        <f t="shared" si="1001"/>
        <v>12600</v>
      </c>
      <c r="AH1259" s="16">
        <f t="shared" si="1001"/>
        <v>10800</v>
      </c>
      <c r="AI1259" s="16">
        <f t="shared" si="1001"/>
        <v>9000</v>
      </c>
      <c r="AJ1259" s="16">
        <f t="shared" si="1001"/>
        <v>7200</v>
      </c>
      <c r="AK1259" s="16">
        <f t="shared" si="1001"/>
        <v>5400</v>
      </c>
      <c r="AL1259" s="16">
        <f t="shared" si="1001"/>
        <v>3600</v>
      </c>
      <c r="AM1259" s="16">
        <f t="shared" si="1001"/>
        <v>1800</v>
      </c>
      <c r="AN1259" s="20" t="s">
        <v>11</v>
      </c>
      <c r="AO1259" s="20"/>
      <c r="AP1259" s="20"/>
      <c r="AQ1259" s="20"/>
      <c r="AR1259" s="20"/>
      <c r="AS1259" s="20"/>
      <c r="AT1259" s="20"/>
    </row>
    <row r="1260" spans="1:46" s="8" customFormat="1" ht="13.8" thickBot="1" x14ac:dyDescent="0.3">
      <c r="A1260" s="122"/>
      <c r="B1260" s="122"/>
      <c r="C1260" s="307"/>
      <c r="D1260" s="91"/>
      <c r="E1260" s="91"/>
      <c r="F1260" s="91"/>
      <c r="G1260" s="355" t="s">
        <v>939</v>
      </c>
      <c r="H1260" s="91"/>
      <c r="I1260" s="91"/>
      <c r="J1260" s="52" t="s">
        <v>5</v>
      </c>
      <c r="K1260" s="53">
        <f>K1259+K1258</f>
        <v>1638198.33</v>
      </c>
      <c r="L1260" s="46"/>
      <c r="M1260" s="46"/>
      <c r="N1260" s="46"/>
      <c r="O1260" s="46"/>
      <c r="P1260" s="46"/>
      <c r="Q1260" s="46"/>
      <c r="R1260" s="46"/>
      <c r="S1260" s="46"/>
      <c r="T1260" s="46">
        <f t="shared" ref="T1260" si="1002">T1259+T1258</f>
        <v>110048.33</v>
      </c>
      <c r="U1260" s="46">
        <f t="shared" ref="U1260:AM1260" si="1003">U1259+U1258</f>
        <v>107050</v>
      </c>
      <c r="V1260" s="46">
        <f t="shared" si="1003"/>
        <v>103800</v>
      </c>
      <c r="W1260" s="46">
        <f t="shared" si="1003"/>
        <v>100550</v>
      </c>
      <c r="X1260" s="46">
        <f t="shared" si="1003"/>
        <v>97300</v>
      </c>
      <c r="Y1260" s="46">
        <f t="shared" si="1003"/>
        <v>94050</v>
      </c>
      <c r="Z1260" s="503">
        <f t="shared" si="1003"/>
        <v>85800</v>
      </c>
      <c r="AA1260" s="542">
        <f t="shared" si="1003"/>
        <v>82800</v>
      </c>
      <c r="AB1260" s="46">
        <f t="shared" si="1003"/>
        <v>79800</v>
      </c>
      <c r="AC1260" s="46">
        <f t="shared" si="1003"/>
        <v>78600</v>
      </c>
      <c r="AD1260" s="46">
        <f t="shared" si="1003"/>
        <v>77400</v>
      </c>
      <c r="AE1260" s="46">
        <f t="shared" si="1003"/>
        <v>76200</v>
      </c>
      <c r="AF1260" s="46">
        <f t="shared" si="1003"/>
        <v>74400</v>
      </c>
      <c r="AG1260" s="46">
        <f t="shared" si="1003"/>
        <v>72600</v>
      </c>
      <c r="AH1260" s="46">
        <f t="shared" si="1003"/>
        <v>70800</v>
      </c>
      <c r="AI1260" s="46">
        <f t="shared" si="1003"/>
        <v>69000</v>
      </c>
      <c r="AJ1260" s="46">
        <f t="shared" si="1003"/>
        <v>67200</v>
      </c>
      <c r="AK1260" s="46">
        <f t="shared" si="1003"/>
        <v>65400</v>
      </c>
      <c r="AL1260" s="46">
        <f t="shared" si="1003"/>
        <v>63600</v>
      </c>
      <c r="AM1260" s="46">
        <f t="shared" si="1003"/>
        <v>61800</v>
      </c>
      <c r="AN1260" s="47" t="s">
        <v>11</v>
      </c>
      <c r="AO1260" s="47"/>
      <c r="AP1260" s="47"/>
      <c r="AQ1260" s="47"/>
      <c r="AR1260" s="47"/>
      <c r="AS1260" s="47"/>
      <c r="AT1260" s="47"/>
    </row>
    <row r="1261" spans="1:46" s="3" customFormat="1" x14ac:dyDescent="0.25">
      <c r="A1261" s="121"/>
      <c r="B1261" s="121"/>
      <c r="C1261" s="306"/>
      <c r="D1261" s="102"/>
      <c r="E1261" s="285"/>
      <c r="F1261" s="102"/>
      <c r="G1261" s="103" t="s">
        <v>930</v>
      </c>
      <c r="H1261" s="103"/>
      <c r="I1261" s="103"/>
      <c r="J1261" s="104" t="s">
        <v>1</v>
      </c>
      <c r="K1261" s="105">
        <f>K1258+K1252+K1246</f>
        <v>5680000</v>
      </c>
      <c r="L1261" s="7"/>
      <c r="M1261" s="7"/>
      <c r="N1261" s="67"/>
      <c r="O1261" s="67"/>
      <c r="P1261" s="67"/>
      <c r="Q1261" s="67"/>
      <c r="R1261" s="67"/>
      <c r="S1261" s="67"/>
      <c r="T1261" s="67">
        <f>T1258+T1252+T1246</f>
        <v>525000</v>
      </c>
      <c r="U1261" s="67">
        <f>U1258+U1252+U1246</f>
        <v>515000</v>
      </c>
      <c r="V1261" s="67">
        <f t="shared" ref="V1261:AH1261" si="1004">V1258+V1252+V1246</f>
        <v>505000</v>
      </c>
      <c r="W1261" s="67">
        <f t="shared" si="1004"/>
        <v>485000</v>
      </c>
      <c r="X1261" s="67">
        <f t="shared" si="1004"/>
        <v>470000</v>
      </c>
      <c r="Y1261" s="67">
        <f t="shared" si="1004"/>
        <v>290000</v>
      </c>
      <c r="Z1261" s="507">
        <f t="shared" si="1004"/>
        <v>285000</v>
      </c>
      <c r="AA1261" s="546">
        <f t="shared" si="1004"/>
        <v>280000</v>
      </c>
      <c r="AB1261" s="67">
        <f t="shared" si="1004"/>
        <v>280000</v>
      </c>
      <c r="AC1261" s="67">
        <f t="shared" si="1004"/>
        <v>270000</v>
      </c>
      <c r="AD1261" s="67">
        <f t="shared" si="1004"/>
        <v>250000</v>
      </c>
      <c r="AE1261" s="67">
        <f t="shared" si="1004"/>
        <v>250000</v>
      </c>
      <c r="AF1261" s="67">
        <f t="shared" si="1004"/>
        <v>250000</v>
      </c>
      <c r="AG1261" s="67">
        <f t="shared" si="1004"/>
        <v>250000</v>
      </c>
      <c r="AH1261" s="67">
        <f t="shared" si="1004"/>
        <v>250000</v>
      </c>
      <c r="AI1261" s="67">
        <f>AI1258+AI1252</f>
        <v>105000</v>
      </c>
      <c r="AJ1261" s="67">
        <f t="shared" ref="AJ1261:AM1261" si="1005">AJ1258+AJ1252</f>
        <v>105000</v>
      </c>
      <c r="AK1261" s="67">
        <f t="shared" si="1005"/>
        <v>105000</v>
      </c>
      <c r="AL1261" s="67">
        <f t="shared" si="1005"/>
        <v>105000</v>
      </c>
      <c r="AM1261" s="67">
        <f t="shared" si="1005"/>
        <v>105000</v>
      </c>
      <c r="AN1261" s="3" t="s">
        <v>11</v>
      </c>
    </row>
    <row r="1262" spans="1:46" s="3" customFormat="1" ht="13.8" thickBot="1" x14ac:dyDescent="0.3">
      <c r="A1262" s="121"/>
      <c r="B1262" s="121"/>
      <c r="C1262" s="306"/>
      <c r="D1262" s="104"/>
      <c r="E1262" s="285" t="s">
        <v>942</v>
      </c>
      <c r="F1262" s="104"/>
      <c r="G1262" s="399" t="s">
        <v>940</v>
      </c>
      <c r="H1262" s="103"/>
      <c r="I1262" s="103"/>
      <c r="J1262" s="106" t="s">
        <v>2</v>
      </c>
      <c r="K1262" s="107">
        <f>K1259+K1253+K1247</f>
        <v>1513374.99</v>
      </c>
      <c r="L1262" s="22"/>
      <c r="M1262" s="22"/>
      <c r="N1262" s="22"/>
      <c r="O1262" s="22"/>
      <c r="P1262" s="22"/>
      <c r="Q1262" s="22"/>
      <c r="R1262" s="22"/>
      <c r="S1262" s="22"/>
      <c r="T1262" s="22">
        <f>T1259+T1253+T1247</f>
        <v>228224.99000000002</v>
      </c>
      <c r="U1262" s="22">
        <f>U1259+U1253+U1247</f>
        <v>203250</v>
      </c>
      <c r="V1262" s="22">
        <f t="shared" ref="V1262:AH1262" si="1006">V1259+V1253+V1247</f>
        <v>177500</v>
      </c>
      <c r="W1262" s="22">
        <f t="shared" si="1006"/>
        <v>152250</v>
      </c>
      <c r="X1262" s="22">
        <f t="shared" si="1006"/>
        <v>128000</v>
      </c>
      <c r="Y1262" s="22">
        <f t="shared" si="1006"/>
        <v>104500</v>
      </c>
      <c r="Z1262" s="506">
        <f t="shared" si="1006"/>
        <v>90000</v>
      </c>
      <c r="AA1262" s="545">
        <f t="shared" si="1006"/>
        <v>75750</v>
      </c>
      <c r="AB1262" s="22">
        <f t="shared" si="1006"/>
        <v>61750</v>
      </c>
      <c r="AC1262" s="22">
        <f t="shared" si="1006"/>
        <v>56150</v>
      </c>
      <c r="AD1262" s="22">
        <f t="shared" si="1006"/>
        <v>50750</v>
      </c>
      <c r="AE1262" s="22">
        <f t="shared" si="1006"/>
        <v>45750</v>
      </c>
      <c r="AF1262" s="22">
        <f t="shared" si="1006"/>
        <v>38250</v>
      </c>
      <c r="AG1262" s="22">
        <f t="shared" si="1006"/>
        <v>30750</v>
      </c>
      <c r="AH1262" s="22">
        <f t="shared" si="1006"/>
        <v>23250</v>
      </c>
      <c r="AI1262" s="22">
        <f>AI1259+AI1253</f>
        <v>15750</v>
      </c>
      <c r="AJ1262" s="22">
        <f t="shared" ref="AJ1262:AM1262" si="1007">AJ1259+AJ1253</f>
        <v>12600</v>
      </c>
      <c r="AK1262" s="22">
        <f t="shared" si="1007"/>
        <v>9450</v>
      </c>
      <c r="AL1262" s="22">
        <f t="shared" si="1007"/>
        <v>6300</v>
      </c>
      <c r="AM1262" s="22">
        <f t="shared" si="1007"/>
        <v>3150</v>
      </c>
      <c r="AN1262" s="23" t="s">
        <v>11</v>
      </c>
      <c r="AO1262" s="23"/>
      <c r="AP1262" s="23"/>
      <c r="AQ1262" s="23"/>
      <c r="AR1262" s="23"/>
      <c r="AS1262" s="23"/>
      <c r="AT1262" s="23"/>
    </row>
    <row r="1263" spans="1:46" s="6" customFormat="1" x14ac:dyDescent="0.25">
      <c r="A1263" s="26"/>
      <c r="B1263" s="26"/>
      <c r="C1263" s="306"/>
      <c r="D1263" s="108"/>
      <c r="E1263" s="286" t="s">
        <v>941</v>
      </c>
      <c r="F1263" s="108"/>
      <c r="G1263" s="287" t="s">
        <v>1341</v>
      </c>
      <c r="H1263" s="103"/>
      <c r="I1263" s="103"/>
      <c r="J1263" s="109" t="s">
        <v>5</v>
      </c>
      <c r="K1263" s="110">
        <f>K1262+K1261</f>
        <v>7193374.9900000002</v>
      </c>
      <c r="L1263" s="67"/>
      <c r="M1263" s="67"/>
      <c r="N1263" s="282"/>
      <c r="O1263" s="282"/>
      <c r="P1263" s="282"/>
      <c r="Q1263" s="282"/>
      <c r="R1263" s="282"/>
      <c r="S1263" s="282"/>
      <c r="T1263" s="282">
        <f t="shared" ref="T1263:U1263" si="1008">T1262+T1261</f>
        <v>753224.99</v>
      </c>
      <c r="U1263" s="282">
        <f t="shared" si="1008"/>
        <v>718250</v>
      </c>
      <c r="V1263" s="282">
        <f t="shared" ref="V1263:AI1263" si="1009">V1262+V1261</f>
        <v>682500</v>
      </c>
      <c r="W1263" s="282">
        <f t="shared" si="1009"/>
        <v>637250</v>
      </c>
      <c r="X1263" s="282">
        <f t="shared" si="1009"/>
        <v>598000</v>
      </c>
      <c r="Y1263" s="282">
        <f t="shared" si="1009"/>
        <v>394500</v>
      </c>
      <c r="Z1263" s="508">
        <f t="shared" si="1009"/>
        <v>375000</v>
      </c>
      <c r="AA1263" s="551">
        <f t="shared" si="1009"/>
        <v>355750</v>
      </c>
      <c r="AB1263" s="282">
        <f t="shared" si="1009"/>
        <v>341750</v>
      </c>
      <c r="AC1263" s="282">
        <f t="shared" si="1009"/>
        <v>326150</v>
      </c>
      <c r="AD1263" s="282">
        <f t="shared" si="1009"/>
        <v>300750</v>
      </c>
      <c r="AE1263" s="282">
        <f t="shared" si="1009"/>
        <v>295750</v>
      </c>
      <c r="AF1263" s="282">
        <f t="shared" si="1009"/>
        <v>288250</v>
      </c>
      <c r="AG1263" s="282">
        <f t="shared" si="1009"/>
        <v>280750</v>
      </c>
      <c r="AH1263" s="282">
        <f t="shared" si="1009"/>
        <v>273250</v>
      </c>
      <c r="AI1263" s="282">
        <f t="shared" si="1009"/>
        <v>120750</v>
      </c>
      <c r="AJ1263" s="282">
        <f t="shared" ref="AJ1263:AM1263" si="1010">AJ1262+AJ1261</f>
        <v>117600</v>
      </c>
      <c r="AK1263" s="282">
        <f t="shared" si="1010"/>
        <v>114450</v>
      </c>
      <c r="AL1263" s="282">
        <f t="shared" si="1010"/>
        <v>111300</v>
      </c>
      <c r="AM1263" s="282">
        <f t="shared" si="1010"/>
        <v>108150</v>
      </c>
      <c r="AN1263" s="134" t="s">
        <v>11</v>
      </c>
      <c r="AO1263" s="69"/>
      <c r="AP1263" s="69"/>
      <c r="AQ1263" s="69"/>
      <c r="AR1263" s="69"/>
      <c r="AS1263" s="69"/>
      <c r="AT1263" s="69"/>
    </row>
    <row r="1264" spans="1:46" s="2" customFormat="1" ht="13.8" thickBot="1" x14ac:dyDescent="0.3">
      <c r="A1264" s="119"/>
      <c r="B1264" s="119"/>
      <c r="C1264" s="308"/>
      <c r="D1264" s="49"/>
      <c r="E1264" s="49"/>
      <c r="F1264" s="49"/>
      <c r="G1264" s="128" t="s">
        <v>1127</v>
      </c>
      <c r="H1264" s="128"/>
      <c r="I1264" s="128"/>
      <c r="J1264" s="48"/>
      <c r="K1264" s="96"/>
      <c r="L1264" s="97"/>
      <c r="M1264" s="97"/>
      <c r="N1264" s="97"/>
      <c r="O1264" s="97"/>
      <c r="P1264" s="98"/>
      <c r="Q1264" s="98"/>
      <c r="R1264" s="98"/>
      <c r="S1264" s="383"/>
      <c r="T1264" s="98"/>
      <c r="U1264" s="48"/>
      <c r="V1264" s="48"/>
      <c r="W1264" s="48"/>
      <c r="X1264" s="48"/>
      <c r="Y1264" s="48"/>
      <c r="Z1264" s="48"/>
      <c r="AA1264" s="48"/>
      <c r="AB1264" s="48"/>
      <c r="AC1264" s="48"/>
      <c r="AD1264" s="48"/>
      <c r="AE1264" s="48"/>
      <c r="AF1264" s="48"/>
      <c r="AG1264" s="48"/>
      <c r="AH1264" s="48"/>
      <c r="AI1264" s="48"/>
      <c r="AJ1264" s="48"/>
      <c r="AK1264" s="48"/>
      <c r="AL1264" s="48"/>
      <c r="AM1264" s="48"/>
      <c r="AN1264" s="48"/>
      <c r="AO1264" s="48"/>
      <c r="AP1264" s="48"/>
      <c r="AQ1264" s="48"/>
      <c r="AR1264" s="48"/>
      <c r="AS1264" s="48"/>
      <c r="AT1264" s="48"/>
    </row>
    <row r="1265" spans="1:46" s="417" customFormat="1" x14ac:dyDescent="0.25">
      <c r="A1265" s="380" t="s">
        <v>102</v>
      </c>
      <c r="B1265" s="380" t="s">
        <v>96</v>
      </c>
      <c r="C1265" s="547"/>
      <c r="D1265" s="54" t="s">
        <v>3</v>
      </c>
      <c r="E1265" s="389">
        <v>44301</v>
      </c>
      <c r="F1265" s="425" t="s">
        <v>266</v>
      </c>
      <c r="G1265" s="314" t="s">
        <v>1128</v>
      </c>
      <c r="H1265" s="428">
        <v>31123269</v>
      </c>
      <c r="I1265" s="428">
        <v>543012</v>
      </c>
      <c r="J1265" s="2" t="s">
        <v>1</v>
      </c>
      <c r="K1265" s="27">
        <v>540000</v>
      </c>
      <c r="L1265" s="4"/>
      <c r="M1265" s="4"/>
      <c r="N1265" s="4"/>
      <c r="O1265" s="4"/>
      <c r="P1265" s="4"/>
      <c r="Q1265" s="422"/>
      <c r="R1265" s="422"/>
      <c r="S1265" s="422"/>
      <c r="T1265" s="422"/>
      <c r="U1265" s="421"/>
      <c r="V1265" s="420">
        <v>110000</v>
      </c>
      <c r="W1265" s="420">
        <v>110000</v>
      </c>
      <c r="X1265" s="420">
        <v>110000</v>
      </c>
      <c r="Y1265" s="420">
        <v>105000</v>
      </c>
      <c r="Z1265" s="509">
        <v>105000</v>
      </c>
      <c r="AA1265" s="60" t="s">
        <v>11</v>
      </c>
      <c r="AB1265" s="419"/>
      <c r="AC1265" s="419"/>
      <c r="AD1265" s="419"/>
      <c r="AE1265" s="419"/>
      <c r="AF1265" s="419"/>
      <c r="AG1265" s="419"/>
      <c r="AH1265" s="419"/>
      <c r="AI1265" s="419"/>
      <c r="AJ1265" s="419"/>
      <c r="AK1265" s="424"/>
      <c r="AL1265" s="424"/>
      <c r="AM1265" s="424"/>
      <c r="AN1265" s="424"/>
      <c r="AO1265" s="424"/>
      <c r="AP1265" s="424"/>
      <c r="AQ1265" s="424"/>
      <c r="AR1265" s="424"/>
      <c r="AS1265" s="2"/>
      <c r="AT1265" s="2"/>
    </row>
    <row r="1266" spans="1:46" s="417" customFormat="1" x14ac:dyDescent="0.25">
      <c r="A1266" s="400" t="s">
        <v>1241</v>
      </c>
      <c r="B1266" s="26"/>
      <c r="C1266" s="306"/>
      <c r="D1266" s="54"/>
      <c r="E1266" s="387" t="s">
        <v>12</v>
      </c>
      <c r="F1266" s="35"/>
      <c r="G1266" s="146" t="s">
        <v>1206</v>
      </c>
      <c r="H1266" s="146" t="s">
        <v>1106</v>
      </c>
      <c r="I1266" s="146"/>
      <c r="J1266" s="17" t="s">
        <v>2</v>
      </c>
      <c r="K1266" s="423">
        <v>80250</v>
      </c>
      <c r="L1266" s="11"/>
      <c r="M1266" s="11"/>
      <c r="N1266" s="11"/>
      <c r="O1266" s="11"/>
      <c r="P1266" s="4"/>
      <c r="Q1266" s="422"/>
      <c r="R1266" s="422"/>
      <c r="S1266" s="422"/>
      <c r="T1266" s="422"/>
      <c r="U1266" s="421"/>
      <c r="V1266" s="420">
        <f>13500+13500</f>
        <v>27000</v>
      </c>
      <c r="W1266" s="420">
        <f>10750+10750</f>
        <v>21500</v>
      </c>
      <c r="X1266" s="420">
        <f>8000+8000</f>
        <v>16000</v>
      </c>
      <c r="Y1266" s="420">
        <f>5250+5250</f>
        <v>10500</v>
      </c>
      <c r="Z1266" s="509">
        <f>2625+2625</f>
        <v>5250</v>
      </c>
      <c r="AA1266" s="532" t="s">
        <v>11</v>
      </c>
      <c r="AB1266" s="419"/>
      <c r="AC1266" s="419"/>
      <c r="AD1266" s="419"/>
      <c r="AE1266" s="419"/>
      <c r="AF1266" s="419"/>
      <c r="AG1266" s="419"/>
      <c r="AH1266" s="419"/>
      <c r="AI1266" s="419"/>
      <c r="AJ1266" s="419"/>
      <c r="AK1266" s="418"/>
      <c r="AL1266" s="418"/>
      <c r="AM1266" s="418"/>
      <c r="AN1266" s="418"/>
      <c r="AO1266" s="418"/>
      <c r="AP1266" s="418"/>
      <c r="AQ1266" s="418"/>
      <c r="AR1266" s="418"/>
      <c r="AS1266" s="17"/>
      <c r="AT1266" s="17"/>
    </row>
    <row r="1267" spans="1:46" s="410" customFormat="1" ht="13.8" thickBot="1" x14ac:dyDescent="0.3">
      <c r="A1267" s="409" t="s">
        <v>1130</v>
      </c>
      <c r="B1267" s="120"/>
      <c r="C1267" s="307"/>
      <c r="D1267" s="85"/>
      <c r="E1267" s="390" t="s">
        <v>160</v>
      </c>
      <c r="F1267" s="391" t="s">
        <v>409</v>
      </c>
      <c r="G1267" s="147" t="s">
        <v>1207</v>
      </c>
      <c r="H1267" s="416"/>
      <c r="I1267" s="145"/>
      <c r="J1267" s="410" t="s">
        <v>5</v>
      </c>
      <c r="K1267" s="415">
        <f>K1266+K1265</f>
        <v>620250</v>
      </c>
      <c r="L1267" s="43"/>
      <c r="M1267" s="43"/>
      <c r="N1267" s="43"/>
      <c r="O1267" s="43"/>
      <c r="P1267" s="43">
        <f>P1266+P1265</f>
        <v>0</v>
      </c>
      <c r="Q1267" s="414"/>
      <c r="R1267" s="43">
        <f>R1266+R1265</f>
        <v>0</v>
      </c>
      <c r="S1267" s="43">
        <f>S1266+S1265</f>
        <v>0</v>
      </c>
      <c r="T1267" s="43"/>
      <c r="U1267" s="413"/>
      <c r="V1267" s="412">
        <f t="shared" ref="V1267:Z1267" si="1011">V1266+V1265</f>
        <v>137000</v>
      </c>
      <c r="W1267" s="412">
        <f t="shared" si="1011"/>
        <v>131500</v>
      </c>
      <c r="X1267" s="412">
        <f t="shared" si="1011"/>
        <v>126000</v>
      </c>
      <c r="Y1267" s="412">
        <f t="shared" si="1011"/>
        <v>115500</v>
      </c>
      <c r="Z1267" s="510">
        <f t="shared" si="1011"/>
        <v>110250</v>
      </c>
      <c r="AA1267" s="533" t="s">
        <v>11</v>
      </c>
      <c r="AB1267" s="412"/>
      <c r="AC1267" s="412"/>
      <c r="AD1267" s="412"/>
      <c r="AE1267" s="412"/>
      <c r="AF1267" s="412"/>
      <c r="AG1267" s="412"/>
      <c r="AH1267" s="412"/>
      <c r="AI1267" s="412"/>
      <c r="AJ1267" s="412"/>
      <c r="AK1267" s="411"/>
      <c r="AL1267" s="411"/>
      <c r="AM1267" s="411"/>
      <c r="AN1267" s="411"/>
      <c r="AO1267" s="411"/>
      <c r="AP1267" s="411"/>
      <c r="AQ1267" s="411"/>
      <c r="AR1267" s="411"/>
      <c r="AS1267" s="41"/>
      <c r="AT1267" s="41"/>
    </row>
    <row r="1268" spans="1:46" s="417" customFormat="1" x14ac:dyDescent="0.25">
      <c r="A1268" s="380" t="s">
        <v>95</v>
      </c>
      <c r="B1268" s="380" t="s">
        <v>96</v>
      </c>
      <c r="C1268" s="547"/>
      <c r="D1268" s="54" t="s">
        <v>3</v>
      </c>
      <c r="E1268" s="389">
        <v>44301</v>
      </c>
      <c r="F1268" s="425" t="s">
        <v>266</v>
      </c>
      <c r="G1268" s="318" t="s">
        <v>1135</v>
      </c>
      <c r="H1268" s="429">
        <v>31300245</v>
      </c>
      <c r="I1268" s="318">
        <v>582001</v>
      </c>
      <c r="J1268" s="2" t="s">
        <v>1</v>
      </c>
      <c r="K1268" s="27">
        <v>1225000</v>
      </c>
      <c r="L1268" s="4"/>
      <c r="M1268" s="4"/>
      <c r="N1268" s="4"/>
      <c r="O1268" s="4"/>
      <c r="P1268" s="4"/>
      <c r="Q1268" s="422"/>
      <c r="R1268" s="422"/>
      <c r="S1268" s="422"/>
      <c r="T1268" s="422"/>
      <c r="U1268" s="421"/>
      <c r="V1268" s="420">
        <v>65000</v>
      </c>
      <c r="W1268" s="420">
        <v>65000</v>
      </c>
      <c r="X1268" s="420">
        <v>65000</v>
      </c>
      <c r="Y1268" s="420">
        <v>65000</v>
      </c>
      <c r="Z1268" s="509">
        <v>65000</v>
      </c>
      <c r="AA1268" s="552">
        <v>60000</v>
      </c>
      <c r="AB1268" s="420">
        <v>60000</v>
      </c>
      <c r="AC1268" s="420">
        <v>60000</v>
      </c>
      <c r="AD1268" s="420">
        <v>60000</v>
      </c>
      <c r="AE1268" s="420">
        <v>60000</v>
      </c>
      <c r="AF1268" s="420">
        <v>60000</v>
      </c>
      <c r="AG1268" s="420">
        <v>60000</v>
      </c>
      <c r="AH1268" s="420">
        <v>60000</v>
      </c>
      <c r="AI1268" s="420">
        <v>60000</v>
      </c>
      <c r="AJ1268" s="420">
        <v>60000</v>
      </c>
      <c r="AK1268" s="420">
        <v>60000</v>
      </c>
      <c r="AL1268" s="420">
        <v>60000</v>
      </c>
      <c r="AM1268" s="420">
        <v>60000</v>
      </c>
      <c r="AN1268" s="420">
        <v>60000</v>
      </c>
      <c r="AO1268" s="420">
        <v>60000</v>
      </c>
      <c r="AP1268" s="2" t="s">
        <v>11</v>
      </c>
      <c r="AQ1268" s="424"/>
      <c r="AR1268" s="424"/>
      <c r="AS1268" s="2"/>
      <c r="AT1268" s="2"/>
    </row>
    <row r="1269" spans="1:46" s="417" customFormat="1" x14ac:dyDescent="0.25">
      <c r="A1269" s="400" t="s">
        <v>1217</v>
      </c>
      <c r="B1269" s="26"/>
      <c r="C1269" s="306"/>
      <c r="D1269" s="54"/>
      <c r="E1269" s="387" t="s">
        <v>12</v>
      </c>
      <c r="F1269" s="35"/>
      <c r="G1269" s="35" t="s">
        <v>1134</v>
      </c>
      <c r="H1269" s="146" t="s">
        <v>1108</v>
      </c>
      <c r="I1269" s="35"/>
      <c r="J1269" s="17" t="s">
        <v>2</v>
      </c>
      <c r="K1269" s="423">
        <v>303150</v>
      </c>
      <c r="L1269" s="11"/>
      <c r="M1269" s="11"/>
      <c r="N1269" s="11"/>
      <c r="O1269" s="11"/>
      <c r="P1269" s="4"/>
      <c r="Q1269" s="422"/>
      <c r="R1269" s="422"/>
      <c r="S1269" s="422"/>
      <c r="T1269" s="422"/>
      <c r="U1269" s="421"/>
      <c r="V1269" s="420">
        <f>18625+18625</f>
        <v>37250</v>
      </c>
      <c r="W1269" s="420">
        <f>17000+17000</f>
        <v>34000</v>
      </c>
      <c r="X1269" s="420">
        <f>15375+15375</f>
        <v>30750</v>
      </c>
      <c r="Y1269" s="420">
        <f>13750+13750</f>
        <v>27500</v>
      </c>
      <c r="Z1269" s="509">
        <f>12125+12125</f>
        <v>24250</v>
      </c>
      <c r="AA1269" s="552">
        <f>10500+10500</f>
        <v>21000</v>
      </c>
      <c r="AB1269" s="420">
        <f>9000+9000</f>
        <v>18000</v>
      </c>
      <c r="AC1269" s="420">
        <f>8400+8400</f>
        <v>16800</v>
      </c>
      <c r="AD1269" s="420">
        <f>7200+7200</f>
        <v>14400</v>
      </c>
      <c r="AE1269" s="420">
        <f>6600+6600</f>
        <v>13200</v>
      </c>
      <c r="AF1269" s="420">
        <f>6000+6000</f>
        <v>12000</v>
      </c>
      <c r="AG1269" s="420">
        <f>5400+5400</f>
        <v>10800</v>
      </c>
      <c r="AH1269" s="420">
        <f>4800+4800</f>
        <v>9600</v>
      </c>
      <c r="AI1269" s="420">
        <f>4200+4200</f>
        <v>8400</v>
      </c>
      <c r="AJ1269" s="420">
        <f>3600+3600</f>
        <v>7200</v>
      </c>
      <c r="AK1269" s="420">
        <f>3000+3000</f>
        <v>6000</v>
      </c>
      <c r="AL1269" s="420">
        <f>2400+2400</f>
        <v>4800</v>
      </c>
      <c r="AM1269" s="420">
        <f>1800+1800</f>
        <v>3600</v>
      </c>
      <c r="AN1269" s="420">
        <f>1200+1200</f>
        <v>2400</v>
      </c>
      <c r="AO1269" s="420">
        <f>600+600</f>
        <v>1200</v>
      </c>
      <c r="AP1269" s="17" t="s">
        <v>11</v>
      </c>
      <c r="AQ1269" s="418"/>
      <c r="AR1269" s="418"/>
      <c r="AS1269" s="17"/>
      <c r="AT1269" s="17"/>
    </row>
    <row r="1270" spans="1:46" s="410" customFormat="1" ht="13.8" thickBot="1" x14ac:dyDescent="0.3">
      <c r="A1270" s="409" t="s">
        <v>1130</v>
      </c>
      <c r="B1270" s="120"/>
      <c r="C1270" s="120"/>
      <c r="D1270" s="85"/>
      <c r="E1270" s="86" t="s">
        <v>161</v>
      </c>
      <c r="F1270" s="86" t="s">
        <v>408</v>
      </c>
      <c r="G1270" s="141" t="s">
        <v>1136</v>
      </c>
      <c r="H1270" s="145"/>
      <c r="I1270" s="125"/>
      <c r="J1270" s="410" t="s">
        <v>5</v>
      </c>
      <c r="K1270" s="415">
        <f>K1269+K1268</f>
        <v>1528150</v>
      </c>
      <c r="L1270" s="43"/>
      <c r="M1270" s="43"/>
      <c r="N1270" s="43"/>
      <c r="O1270" s="43"/>
      <c r="P1270" s="43">
        <f>P1269+P1268</f>
        <v>0</v>
      </c>
      <c r="Q1270" s="414"/>
      <c r="R1270" s="43">
        <f>R1269+R1268</f>
        <v>0</v>
      </c>
      <c r="S1270" s="43">
        <f>S1269+S1268</f>
        <v>0</v>
      </c>
      <c r="T1270" s="43"/>
      <c r="U1270" s="43"/>
      <c r="V1270" s="412">
        <f t="shared" ref="V1270:AH1270" si="1012">V1269+V1268</f>
        <v>102250</v>
      </c>
      <c r="W1270" s="412">
        <f t="shared" si="1012"/>
        <v>99000</v>
      </c>
      <c r="X1270" s="412">
        <f t="shared" si="1012"/>
        <v>95750</v>
      </c>
      <c r="Y1270" s="412">
        <f t="shared" si="1012"/>
        <v>92500</v>
      </c>
      <c r="Z1270" s="510">
        <f t="shared" si="1012"/>
        <v>89250</v>
      </c>
      <c r="AA1270" s="553">
        <f t="shared" si="1012"/>
        <v>81000</v>
      </c>
      <c r="AB1270" s="412">
        <f t="shared" si="1012"/>
        <v>78000</v>
      </c>
      <c r="AC1270" s="412">
        <f t="shared" si="1012"/>
        <v>76800</v>
      </c>
      <c r="AD1270" s="412">
        <f t="shared" si="1012"/>
        <v>74400</v>
      </c>
      <c r="AE1270" s="412">
        <f t="shared" si="1012"/>
        <v>73200</v>
      </c>
      <c r="AF1270" s="412">
        <f t="shared" si="1012"/>
        <v>72000</v>
      </c>
      <c r="AG1270" s="412">
        <f t="shared" si="1012"/>
        <v>70800</v>
      </c>
      <c r="AH1270" s="412">
        <f t="shared" si="1012"/>
        <v>69600</v>
      </c>
      <c r="AI1270" s="412">
        <f t="shared" ref="AI1270" si="1013">AI1269+AI1268</f>
        <v>68400</v>
      </c>
      <c r="AJ1270" s="412">
        <f t="shared" ref="AJ1270" si="1014">AJ1269+AJ1268</f>
        <v>67200</v>
      </c>
      <c r="AK1270" s="412">
        <f t="shared" ref="AK1270" si="1015">AK1269+AK1268</f>
        <v>66000</v>
      </c>
      <c r="AL1270" s="412">
        <f t="shared" ref="AL1270" si="1016">AL1269+AL1268</f>
        <v>64800</v>
      </c>
      <c r="AM1270" s="412">
        <f t="shared" ref="AM1270" si="1017">AM1269+AM1268</f>
        <v>63600</v>
      </c>
      <c r="AN1270" s="412">
        <f t="shared" ref="AN1270" si="1018">AN1269+AN1268</f>
        <v>62400</v>
      </c>
      <c r="AO1270" s="412">
        <f t="shared" ref="AO1270" si="1019">AO1269+AO1268</f>
        <v>61200</v>
      </c>
      <c r="AP1270" s="41" t="s">
        <v>11</v>
      </c>
      <c r="AQ1270" s="411"/>
      <c r="AR1270" s="411"/>
      <c r="AS1270" s="41"/>
      <c r="AT1270" s="41"/>
    </row>
    <row r="1271" spans="1:46" s="417" customFormat="1" x14ac:dyDescent="0.25">
      <c r="A1271" s="380" t="s">
        <v>98</v>
      </c>
      <c r="B1271" s="380" t="s">
        <v>96</v>
      </c>
      <c r="C1271" s="547"/>
      <c r="D1271" s="54" t="s">
        <v>3</v>
      </c>
      <c r="E1271" s="389">
        <v>44301</v>
      </c>
      <c r="F1271" s="425" t="s">
        <v>266</v>
      </c>
      <c r="G1271" s="323" t="s">
        <v>1137</v>
      </c>
      <c r="H1271" s="438">
        <v>31300245</v>
      </c>
      <c r="I1271" s="323">
        <v>581504</v>
      </c>
      <c r="J1271" s="2" t="s">
        <v>1</v>
      </c>
      <c r="K1271" s="27">
        <v>135000</v>
      </c>
      <c r="L1271" s="4"/>
      <c r="M1271" s="4"/>
      <c r="N1271" s="4"/>
      <c r="O1271" s="4"/>
      <c r="P1271" s="4"/>
      <c r="Q1271" s="422"/>
      <c r="R1271" s="422"/>
      <c r="S1271" s="422"/>
      <c r="T1271" s="422"/>
      <c r="U1271" s="421"/>
      <c r="V1271" s="420">
        <v>15000</v>
      </c>
      <c r="W1271" s="420">
        <v>15000</v>
      </c>
      <c r="X1271" s="420">
        <v>15000</v>
      </c>
      <c r="Y1271" s="420">
        <v>15000</v>
      </c>
      <c r="Z1271" s="509">
        <v>15000</v>
      </c>
      <c r="AA1271" s="552">
        <v>15000</v>
      </c>
      <c r="AB1271" s="420">
        <v>15000</v>
      </c>
      <c r="AC1271" s="420">
        <v>10000</v>
      </c>
      <c r="AD1271" s="420">
        <v>10000</v>
      </c>
      <c r="AE1271" s="420">
        <v>10000</v>
      </c>
      <c r="AF1271" s="2" t="s">
        <v>11</v>
      </c>
      <c r="AG1271" s="430"/>
      <c r="AH1271" s="430"/>
      <c r="AI1271" s="430"/>
      <c r="AJ1271" s="430"/>
      <c r="AK1271" s="419"/>
      <c r="AL1271" s="424"/>
      <c r="AM1271" s="424"/>
      <c r="AN1271" s="424"/>
      <c r="AO1271" s="424"/>
      <c r="AP1271" s="424"/>
      <c r="AQ1271" s="424"/>
      <c r="AR1271" s="424"/>
      <c r="AS1271" s="2"/>
      <c r="AT1271" s="2"/>
    </row>
    <row r="1272" spans="1:46" s="417" customFormat="1" x14ac:dyDescent="0.25">
      <c r="A1272" s="400" t="s">
        <v>1252</v>
      </c>
      <c r="B1272" s="26"/>
      <c r="C1272" s="306"/>
      <c r="D1272" s="54"/>
      <c r="E1272" s="387" t="s">
        <v>12</v>
      </c>
      <c r="F1272" s="35"/>
      <c r="G1272" s="146" t="s">
        <v>1209</v>
      </c>
      <c r="H1272" s="146" t="s">
        <v>1105</v>
      </c>
      <c r="I1272" s="35"/>
      <c r="J1272" s="17" t="s">
        <v>2</v>
      </c>
      <c r="K1272" s="423">
        <v>24850</v>
      </c>
      <c r="L1272" s="11"/>
      <c r="M1272" s="11"/>
      <c r="N1272" s="11"/>
      <c r="O1272" s="11"/>
      <c r="P1272" s="4"/>
      <c r="Q1272" s="422"/>
      <c r="R1272" s="422"/>
      <c r="S1272" s="422"/>
      <c r="T1272" s="422"/>
      <c r="U1272" s="421"/>
      <c r="V1272" s="420">
        <f>2800+2800</f>
        <v>5600</v>
      </c>
      <c r="W1272" s="420">
        <f>2425+2425</f>
        <v>4850</v>
      </c>
      <c r="X1272" s="420">
        <f>2050+2050</f>
        <v>4100</v>
      </c>
      <c r="Y1272" s="420">
        <f>1675+1675</f>
        <v>3350</v>
      </c>
      <c r="Z1272" s="509">
        <f>1300+1300</f>
        <v>2600</v>
      </c>
      <c r="AA1272" s="552">
        <f>925+925</f>
        <v>1850</v>
      </c>
      <c r="AB1272" s="420">
        <f>550+550</f>
        <v>1100</v>
      </c>
      <c r="AC1272" s="420">
        <f>400+400</f>
        <v>800</v>
      </c>
      <c r="AD1272" s="420">
        <f>200+200</f>
        <v>400</v>
      </c>
      <c r="AE1272" s="420">
        <f>100+100</f>
        <v>200</v>
      </c>
      <c r="AF1272" s="17" t="s">
        <v>11</v>
      </c>
      <c r="AG1272" s="430"/>
      <c r="AH1272" s="430"/>
      <c r="AI1272" s="430"/>
      <c r="AJ1272" s="430"/>
      <c r="AK1272" s="419"/>
      <c r="AL1272" s="418"/>
      <c r="AM1272" s="418"/>
      <c r="AN1272" s="418"/>
      <c r="AO1272" s="418"/>
      <c r="AP1272" s="418"/>
      <c r="AQ1272" s="418"/>
      <c r="AR1272" s="418"/>
      <c r="AS1272" s="17"/>
      <c r="AT1272" s="17"/>
    </row>
    <row r="1273" spans="1:46" s="410" customFormat="1" ht="13.8" thickBot="1" x14ac:dyDescent="0.3">
      <c r="A1273" s="409" t="s">
        <v>1130</v>
      </c>
      <c r="B1273" s="120"/>
      <c r="C1273" s="120"/>
      <c r="D1273" s="85"/>
      <c r="E1273" s="390" t="s">
        <v>17</v>
      </c>
      <c r="F1273" s="86" t="s">
        <v>408</v>
      </c>
      <c r="G1273" s="147" t="s">
        <v>1208</v>
      </c>
      <c r="H1273" s="416"/>
      <c r="I1273" s="125"/>
      <c r="J1273" s="410" t="s">
        <v>5</v>
      </c>
      <c r="K1273" s="415">
        <f>K1272+K1271</f>
        <v>159850</v>
      </c>
      <c r="L1273" s="43"/>
      <c r="M1273" s="43"/>
      <c r="N1273" s="43"/>
      <c r="O1273" s="43"/>
      <c r="P1273" s="43">
        <f>P1272+P1271</f>
        <v>0</v>
      </c>
      <c r="Q1273" s="414"/>
      <c r="R1273" s="43">
        <f>R1272+R1271</f>
        <v>0</v>
      </c>
      <c r="S1273" s="43">
        <f>S1272+S1271</f>
        <v>0</v>
      </c>
      <c r="T1273" s="43"/>
      <c r="U1273" s="43"/>
      <c r="V1273" s="412">
        <f t="shared" ref="V1273:AE1273" si="1020">V1272+V1271</f>
        <v>20600</v>
      </c>
      <c r="W1273" s="412">
        <f t="shared" si="1020"/>
        <v>19850</v>
      </c>
      <c r="X1273" s="412">
        <f t="shared" si="1020"/>
        <v>19100</v>
      </c>
      <c r="Y1273" s="412">
        <f t="shared" si="1020"/>
        <v>18350</v>
      </c>
      <c r="Z1273" s="510">
        <f t="shared" si="1020"/>
        <v>17600</v>
      </c>
      <c r="AA1273" s="553">
        <f t="shared" si="1020"/>
        <v>16850</v>
      </c>
      <c r="AB1273" s="412">
        <f t="shared" si="1020"/>
        <v>16100</v>
      </c>
      <c r="AC1273" s="412">
        <f t="shared" si="1020"/>
        <v>10800</v>
      </c>
      <c r="AD1273" s="412">
        <f t="shared" si="1020"/>
        <v>10400</v>
      </c>
      <c r="AE1273" s="412">
        <f t="shared" si="1020"/>
        <v>10200</v>
      </c>
      <c r="AF1273" s="41" t="s">
        <v>11</v>
      </c>
      <c r="AG1273" s="412"/>
      <c r="AH1273" s="412"/>
      <c r="AI1273" s="412"/>
      <c r="AJ1273" s="412"/>
      <c r="AK1273" s="412"/>
      <c r="AL1273" s="411"/>
      <c r="AM1273" s="411"/>
      <c r="AN1273" s="411"/>
      <c r="AO1273" s="411"/>
      <c r="AP1273" s="411"/>
      <c r="AQ1273" s="411"/>
      <c r="AR1273" s="411"/>
      <c r="AS1273" s="41"/>
      <c r="AT1273" s="41"/>
    </row>
    <row r="1274" spans="1:46" s="417" customFormat="1" x14ac:dyDescent="0.25">
      <c r="A1274" s="26" t="s">
        <v>101</v>
      </c>
      <c r="B1274" s="26" t="s">
        <v>96</v>
      </c>
      <c r="C1274" s="306"/>
      <c r="D1274" s="54" t="s">
        <v>3</v>
      </c>
      <c r="E1274" s="389">
        <v>44301</v>
      </c>
      <c r="F1274" s="386" t="s">
        <v>266</v>
      </c>
      <c r="G1274" s="320" t="s">
        <v>1139</v>
      </c>
      <c r="H1274" s="433">
        <v>31192287</v>
      </c>
      <c r="I1274" s="320">
        <v>582030</v>
      </c>
      <c r="J1274" s="2" t="s">
        <v>1</v>
      </c>
      <c r="K1274" s="27">
        <v>135000</v>
      </c>
      <c r="L1274" s="4"/>
      <c r="M1274" s="4"/>
      <c r="N1274" s="4"/>
      <c r="O1274" s="4"/>
      <c r="P1274" s="4"/>
      <c r="Q1274" s="4"/>
      <c r="R1274" s="426"/>
      <c r="S1274" s="426"/>
      <c r="T1274" s="426"/>
      <c r="U1274" s="432"/>
      <c r="V1274" s="420">
        <v>15000</v>
      </c>
      <c r="W1274" s="420">
        <v>15000</v>
      </c>
      <c r="X1274" s="420">
        <v>15000</v>
      </c>
      <c r="Y1274" s="420">
        <v>15000</v>
      </c>
      <c r="Z1274" s="509">
        <v>15000</v>
      </c>
      <c r="AA1274" s="552">
        <v>15000</v>
      </c>
      <c r="AB1274" s="420">
        <v>15000</v>
      </c>
      <c r="AC1274" s="420">
        <v>10000</v>
      </c>
      <c r="AD1274" s="420">
        <v>10000</v>
      </c>
      <c r="AE1274" s="420">
        <v>10000</v>
      </c>
      <c r="AF1274" s="2" t="s">
        <v>11</v>
      </c>
      <c r="AG1274" s="431"/>
      <c r="AH1274" s="431"/>
      <c r="AI1274" s="431"/>
      <c r="AJ1274" s="431"/>
      <c r="AK1274" s="424"/>
      <c r="AL1274" s="424"/>
      <c r="AM1274" s="424"/>
      <c r="AN1274" s="424"/>
      <c r="AO1274" s="424"/>
      <c r="AP1274" s="424"/>
      <c r="AQ1274" s="424"/>
      <c r="AR1274" s="424"/>
      <c r="AS1274" s="2"/>
      <c r="AT1274" s="2"/>
    </row>
    <row r="1275" spans="1:46" s="417" customFormat="1" x14ac:dyDescent="0.25">
      <c r="A1275" s="400" t="s">
        <v>1251</v>
      </c>
      <c r="B1275" s="26"/>
      <c r="C1275" s="306"/>
      <c r="D1275" s="54"/>
      <c r="E1275" s="387" t="s">
        <v>12</v>
      </c>
      <c r="F1275" s="35"/>
      <c r="G1275" s="35" t="s">
        <v>1138</v>
      </c>
      <c r="H1275" s="146" t="s">
        <v>1105</v>
      </c>
      <c r="I1275" s="35"/>
      <c r="J1275" s="17" t="s">
        <v>2</v>
      </c>
      <c r="K1275" s="423">
        <v>24850</v>
      </c>
      <c r="L1275" s="11"/>
      <c r="M1275" s="11"/>
      <c r="N1275" s="11"/>
      <c r="O1275" s="11"/>
      <c r="P1275" s="4"/>
      <c r="Q1275" s="4"/>
      <c r="R1275" s="426"/>
      <c r="S1275" s="426"/>
      <c r="T1275" s="426"/>
      <c r="U1275" s="432"/>
      <c r="V1275" s="420">
        <f>2800+2800</f>
        <v>5600</v>
      </c>
      <c r="W1275" s="420">
        <f>2425+2425</f>
        <v>4850</v>
      </c>
      <c r="X1275" s="420">
        <f>2050+2050</f>
        <v>4100</v>
      </c>
      <c r="Y1275" s="420">
        <f>1675+1675</f>
        <v>3350</v>
      </c>
      <c r="Z1275" s="509">
        <f>1300+1300</f>
        <v>2600</v>
      </c>
      <c r="AA1275" s="552">
        <f>925+925</f>
        <v>1850</v>
      </c>
      <c r="AB1275" s="420">
        <f>550+550</f>
        <v>1100</v>
      </c>
      <c r="AC1275" s="420">
        <f>400+400</f>
        <v>800</v>
      </c>
      <c r="AD1275" s="420">
        <f>200+200</f>
        <v>400</v>
      </c>
      <c r="AE1275" s="420">
        <f>100+100</f>
        <v>200</v>
      </c>
      <c r="AF1275" s="17" t="s">
        <v>11</v>
      </c>
      <c r="AG1275" s="431"/>
      <c r="AH1275" s="431"/>
      <c r="AI1275" s="431"/>
      <c r="AJ1275" s="431"/>
      <c r="AK1275" s="418"/>
      <c r="AL1275" s="418"/>
      <c r="AM1275" s="418"/>
      <c r="AN1275" s="418"/>
      <c r="AO1275" s="418"/>
      <c r="AP1275" s="418"/>
      <c r="AQ1275" s="418"/>
      <c r="AR1275" s="418"/>
      <c r="AS1275" s="17"/>
      <c r="AT1275" s="17"/>
    </row>
    <row r="1276" spans="1:46" s="417" customFormat="1" ht="13.8" thickBot="1" x14ac:dyDescent="0.3">
      <c r="A1276" s="409" t="s">
        <v>1130</v>
      </c>
      <c r="B1276" s="120"/>
      <c r="C1276" s="307"/>
      <c r="D1276" s="85"/>
      <c r="E1276" s="390" t="s">
        <v>40</v>
      </c>
      <c r="F1276" s="391" t="s">
        <v>412</v>
      </c>
      <c r="G1276" s="141" t="s">
        <v>1140</v>
      </c>
      <c r="H1276" s="145"/>
      <c r="I1276" s="125"/>
      <c r="J1276" s="410" t="s">
        <v>5</v>
      </c>
      <c r="K1276" s="415">
        <f>K1275+K1274</f>
        <v>159850</v>
      </c>
      <c r="L1276" s="43"/>
      <c r="M1276" s="43"/>
      <c r="N1276" s="43"/>
      <c r="O1276" s="43"/>
      <c r="P1276" s="43">
        <f>P1275+P1274</f>
        <v>0</v>
      </c>
      <c r="Q1276" s="43"/>
      <c r="R1276" s="43">
        <f>R1275+R1274</f>
        <v>0</v>
      </c>
      <c r="S1276" s="43">
        <f>S1275+S1274</f>
        <v>0</v>
      </c>
      <c r="T1276" s="43"/>
      <c r="U1276" s="43"/>
      <c r="V1276" s="412">
        <f t="shared" ref="V1276" si="1021">V1275+V1274</f>
        <v>20600</v>
      </c>
      <c r="W1276" s="412">
        <f t="shared" ref="W1276" si="1022">W1275+W1274</f>
        <v>19850</v>
      </c>
      <c r="X1276" s="412">
        <f t="shared" ref="X1276" si="1023">X1275+X1274</f>
        <v>19100</v>
      </c>
      <c r="Y1276" s="412">
        <f t="shared" ref="Y1276" si="1024">Y1275+Y1274</f>
        <v>18350</v>
      </c>
      <c r="Z1276" s="510">
        <f t="shared" ref="Z1276" si="1025">Z1275+Z1274</f>
        <v>17600</v>
      </c>
      <c r="AA1276" s="553">
        <f t="shared" ref="AA1276" si="1026">AA1275+AA1274</f>
        <v>16850</v>
      </c>
      <c r="AB1276" s="412">
        <f t="shared" ref="AB1276" si="1027">AB1275+AB1274</f>
        <v>16100</v>
      </c>
      <c r="AC1276" s="412">
        <f t="shared" ref="AC1276" si="1028">AC1275+AC1274</f>
        <v>10800</v>
      </c>
      <c r="AD1276" s="412">
        <f t="shared" ref="AD1276" si="1029">AD1275+AD1274</f>
        <v>10400</v>
      </c>
      <c r="AE1276" s="412">
        <f t="shared" ref="AE1276" si="1030">AE1275+AE1274</f>
        <v>10200</v>
      </c>
      <c r="AF1276" s="41" t="s">
        <v>11</v>
      </c>
      <c r="AG1276" s="412"/>
      <c r="AH1276" s="412"/>
      <c r="AI1276" s="412"/>
      <c r="AJ1276" s="412"/>
      <c r="AK1276" s="411"/>
      <c r="AL1276" s="411"/>
      <c r="AM1276" s="411"/>
      <c r="AN1276" s="411"/>
      <c r="AO1276" s="411"/>
      <c r="AP1276" s="411"/>
      <c r="AQ1276" s="411"/>
      <c r="AR1276" s="411"/>
      <c r="AS1276" s="41"/>
      <c r="AT1276" s="41"/>
    </row>
    <row r="1277" spans="1:46" s="417" customFormat="1" x14ac:dyDescent="0.25">
      <c r="A1277" s="26" t="s">
        <v>101</v>
      </c>
      <c r="B1277" s="26" t="s">
        <v>96</v>
      </c>
      <c r="C1277" s="306"/>
      <c r="D1277" s="54" t="s">
        <v>3</v>
      </c>
      <c r="E1277" s="389">
        <v>44301</v>
      </c>
      <c r="F1277" s="386" t="s">
        <v>266</v>
      </c>
      <c r="G1277" s="320" t="s">
        <v>1142</v>
      </c>
      <c r="H1277" s="435">
        <v>31192287</v>
      </c>
      <c r="I1277" s="320">
        <v>581502</v>
      </c>
      <c r="J1277" s="2" t="s">
        <v>1</v>
      </c>
      <c r="K1277" s="27">
        <v>100000</v>
      </c>
      <c r="L1277" s="4"/>
      <c r="M1277" s="4"/>
      <c r="N1277" s="4"/>
      <c r="O1277" s="4"/>
      <c r="P1277" s="4"/>
      <c r="Q1277" s="4"/>
      <c r="R1277" s="426"/>
      <c r="S1277" s="426"/>
      <c r="T1277" s="426"/>
      <c r="U1277" s="432"/>
      <c r="V1277" s="434">
        <v>10000</v>
      </c>
      <c r="W1277" s="434">
        <v>10000</v>
      </c>
      <c r="X1277" s="434">
        <v>10000</v>
      </c>
      <c r="Y1277" s="434">
        <v>10000</v>
      </c>
      <c r="Z1277" s="511">
        <v>10000</v>
      </c>
      <c r="AA1277" s="554">
        <v>10000</v>
      </c>
      <c r="AB1277" s="434">
        <v>10000</v>
      </c>
      <c r="AC1277" s="434">
        <v>10000</v>
      </c>
      <c r="AD1277" s="434">
        <v>10000</v>
      </c>
      <c r="AE1277" s="434">
        <v>10000</v>
      </c>
      <c r="AF1277" s="2" t="s">
        <v>11</v>
      </c>
      <c r="AG1277" s="431"/>
      <c r="AH1277" s="431"/>
      <c r="AI1277" s="431"/>
      <c r="AJ1277" s="431"/>
      <c r="AK1277" s="424"/>
      <c r="AL1277" s="424"/>
      <c r="AM1277" s="424"/>
      <c r="AN1277" s="424"/>
      <c r="AO1277" s="424"/>
      <c r="AP1277" s="424"/>
      <c r="AQ1277" s="424"/>
      <c r="AR1277" s="424"/>
      <c r="AS1277" s="2"/>
      <c r="AT1277" s="2"/>
    </row>
    <row r="1278" spans="1:46" s="417" customFormat="1" x14ac:dyDescent="0.25">
      <c r="A1278" s="400" t="s">
        <v>1250</v>
      </c>
      <c r="B1278" s="26"/>
      <c r="C1278" s="306"/>
      <c r="D1278" s="54"/>
      <c r="E1278" s="387" t="s">
        <v>12</v>
      </c>
      <c r="F1278" s="35"/>
      <c r="G1278" s="35" t="s">
        <v>1141</v>
      </c>
      <c r="H1278" s="146" t="s">
        <v>1105</v>
      </c>
      <c r="I1278" s="35"/>
      <c r="J1278" s="17" t="s">
        <v>2</v>
      </c>
      <c r="K1278" s="423">
        <v>18900</v>
      </c>
      <c r="L1278" s="11"/>
      <c r="M1278" s="11"/>
      <c r="N1278" s="11"/>
      <c r="O1278" s="11"/>
      <c r="P1278" s="4"/>
      <c r="Q1278" s="4"/>
      <c r="R1278" s="426"/>
      <c r="S1278" s="426"/>
      <c r="T1278" s="426"/>
      <c r="U1278" s="432"/>
      <c r="V1278" s="434">
        <f>2000+2000</f>
        <v>4000</v>
      </c>
      <c r="W1278" s="434">
        <f>1750+1750</f>
        <v>3500</v>
      </c>
      <c r="X1278" s="434">
        <f>1500+1500</f>
        <v>3000</v>
      </c>
      <c r="Y1278" s="434">
        <f>1250+1250</f>
        <v>2500</v>
      </c>
      <c r="Z1278" s="511">
        <f>1000+1000</f>
        <v>2000</v>
      </c>
      <c r="AA1278" s="554">
        <f>750+750</f>
        <v>1500</v>
      </c>
      <c r="AB1278" s="434">
        <f>500+500</f>
        <v>1000</v>
      </c>
      <c r="AC1278" s="434">
        <f>400+400</f>
        <v>800</v>
      </c>
      <c r="AD1278" s="434">
        <f>200+200</f>
        <v>400</v>
      </c>
      <c r="AE1278" s="434">
        <f>100+100</f>
        <v>200</v>
      </c>
      <c r="AF1278" s="17" t="s">
        <v>11</v>
      </c>
      <c r="AG1278" s="431"/>
      <c r="AH1278" s="431"/>
      <c r="AI1278" s="431"/>
      <c r="AJ1278" s="431"/>
      <c r="AK1278" s="418"/>
      <c r="AL1278" s="418"/>
      <c r="AM1278" s="418"/>
      <c r="AN1278" s="418"/>
      <c r="AO1278" s="418"/>
      <c r="AP1278" s="418"/>
      <c r="AQ1278" s="418"/>
      <c r="AR1278" s="418"/>
      <c r="AS1278" s="17"/>
      <c r="AT1278" s="17"/>
    </row>
    <row r="1279" spans="1:46" s="410" customFormat="1" ht="13.8" thickBot="1" x14ac:dyDescent="0.3">
      <c r="A1279" s="409" t="s">
        <v>1130</v>
      </c>
      <c r="B1279" s="120"/>
      <c r="C1279" s="307"/>
      <c r="D1279" s="85"/>
      <c r="E1279" s="390" t="s">
        <v>40</v>
      </c>
      <c r="F1279" s="391" t="s">
        <v>412</v>
      </c>
      <c r="G1279" s="141" t="s">
        <v>1143</v>
      </c>
      <c r="H1279" s="145"/>
      <c r="I1279" s="125"/>
      <c r="J1279" s="410" t="s">
        <v>5</v>
      </c>
      <c r="K1279" s="415">
        <f>K1278+K1277</f>
        <v>118900</v>
      </c>
      <c r="L1279" s="43"/>
      <c r="M1279" s="43"/>
      <c r="N1279" s="43"/>
      <c r="O1279" s="43"/>
      <c r="P1279" s="43">
        <f>P1278+P1277</f>
        <v>0</v>
      </c>
      <c r="Q1279" s="43"/>
      <c r="R1279" s="43">
        <f>R1278+R1277</f>
        <v>0</v>
      </c>
      <c r="S1279" s="43">
        <f>S1278+S1277</f>
        <v>0</v>
      </c>
      <c r="T1279" s="43"/>
      <c r="U1279" s="43"/>
      <c r="V1279" s="412">
        <f t="shared" ref="V1279:AE1279" si="1031">V1278+V1277</f>
        <v>14000</v>
      </c>
      <c r="W1279" s="412">
        <f t="shared" si="1031"/>
        <v>13500</v>
      </c>
      <c r="X1279" s="412">
        <f t="shared" si="1031"/>
        <v>13000</v>
      </c>
      <c r="Y1279" s="412">
        <f t="shared" si="1031"/>
        <v>12500</v>
      </c>
      <c r="Z1279" s="510">
        <f t="shared" si="1031"/>
        <v>12000</v>
      </c>
      <c r="AA1279" s="553">
        <f t="shared" si="1031"/>
        <v>11500</v>
      </c>
      <c r="AB1279" s="412">
        <f t="shared" si="1031"/>
        <v>11000</v>
      </c>
      <c r="AC1279" s="412">
        <f t="shared" si="1031"/>
        <v>10800</v>
      </c>
      <c r="AD1279" s="412">
        <f t="shared" si="1031"/>
        <v>10400</v>
      </c>
      <c r="AE1279" s="412">
        <f t="shared" si="1031"/>
        <v>10200</v>
      </c>
      <c r="AF1279" s="41" t="s">
        <v>11</v>
      </c>
      <c r="AG1279" s="412"/>
      <c r="AH1279" s="412"/>
      <c r="AI1279" s="412"/>
      <c r="AJ1279" s="412"/>
      <c r="AK1279" s="411"/>
      <c r="AL1279" s="411"/>
      <c r="AM1279" s="411"/>
      <c r="AN1279" s="411"/>
      <c r="AO1279" s="411"/>
      <c r="AP1279" s="411"/>
      <c r="AQ1279" s="411"/>
      <c r="AR1279" s="411"/>
      <c r="AS1279" s="41"/>
      <c r="AT1279" s="41"/>
    </row>
    <row r="1280" spans="1:46" s="417" customFormat="1" x14ac:dyDescent="0.25">
      <c r="A1280" s="26" t="s">
        <v>99</v>
      </c>
      <c r="B1280" s="26" t="s">
        <v>96</v>
      </c>
      <c r="C1280" s="306"/>
      <c r="D1280" s="54" t="s">
        <v>3</v>
      </c>
      <c r="E1280" s="389">
        <v>44301</v>
      </c>
      <c r="F1280" s="386" t="s">
        <v>266</v>
      </c>
      <c r="G1280" s="313" t="s">
        <v>457</v>
      </c>
      <c r="H1280" s="436">
        <v>31422287</v>
      </c>
      <c r="I1280" s="313">
        <v>586200</v>
      </c>
      <c r="J1280" s="2" t="s">
        <v>1</v>
      </c>
      <c r="K1280" s="27">
        <v>465000</v>
      </c>
      <c r="L1280" s="4"/>
      <c r="M1280" s="4"/>
      <c r="N1280" s="4"/>
      <c r="O1280" s="4"/>
      <c r="P1280" s="4"/>
      <c r="Q1280" s="422"/>
      <c r="R1280" s="422"/>
      <c r="S1280" s="422"/>
      <c r="T1280" s="422"/>
      <c r="U1280" s="421"/>
      <c r="V1280" s="420">
        <v>35000</v>
      </c>
      <c r="W1280" s="420">
        <v>35000</v>
      </c>
      <c r="X1280" s="420">
        <v>35000</v>
      </c>
      <c r="Y1280" s="420">
        <v>30000</v>
      </c>
      <c r="Z1280" s="509">
        <v>30000</v>
      </c>
      <c r="AA1280" s="552">
        <v>30000</v>
      </c>
      <c r="AB1280" s="420">
        <v>30000</v>
      </c>
      <c r="AC1280" s="420">
        <v>30000</v>
      </c>
      <c r="AD1280" s="420">
        <v>30000</v>
      </c>
      <c r="AE1280" s="420">
        <v>30000</v>
      </c>
      <c r="AF1280" s="420">
        <v>30000</v>
      </c>
      <c r="AG1280" s="420">
        <v>30000</v>
      </c>
      <c r="AH1280" s="420">
        <v>30000</v>
      </c>
      <c r="AI1280" s="420">
        <v>30000</v>
      </c>
      <c r="AJ1280" s="420">
        <v>30000</v>
      </c>
      <c r="AK1280" s="2" t="s">
        <v>11</v>
      </c>
      <c r="AL1280" s="424"/>
      <c r="AM1280" s="424"/>
      <c r="AN1280" s="424"/>
      <c r="AO1280" s="424"/>
      <c r="AP1280" s="424"/>
      <c r="AQ1280" s="424"/>
      <c r="AR1280" s="424"/>
      <c r="AS1280" s="2"/>
      <c r="AT1280" s="2"/>
    </row>
    <row r="1281" spans="1:46" s="417" customFormat="1" x14ac:dyDescent="0.25">
      <c r="A1281" s="400" t="s">
        <v>1248</v>
      </c>
      <c r="B1281" s="26"/>
      <c r="C1281" s="306"/>
      <c r="D1281" s="54"/>
      <c r="E1281" s="387" t="s">
        <v>12</v>
      </c>
      <c r="F1281" s="35"/>
      <c r="G1281" s="35" t="s">
        <v>1144</v>
      </c>
      <c r="H1281" s="146" t="s">
        <v>1107</v>
      </c>
      <c r="I1281" s="35"/>
      <c r="J1281" s="17" t="s">
        <v>2</v>
      </c>
      <c r="K1281" s="423">
        <v>97200</v>
      </c>
      <c r="L1281" s="11"/>
      <c r="M1281" s="11"/>
      <c r="N1281" s="11"/>
      <c r="O1281" s="11"/>
      <c r="P1281" s="4"/>
      <c r="Q1281" s="422"/>
      <c r="R1281" s="422"/>
      <c r="S1281" s="422"/>
      <c r="T1281" s="422"/>
      <c r="U1281" s="421"/>
      <c r="V1281" s="420">
        <f>7875+7875</f>
        <v>15750</v>
      </c>
      <c r="W1281" s="420">
        <f>7000+7000</f>
        <v>14000</v>
      </c>
      <c r="X1281" s="420">
        <f>6125+6125</f>
        <v>12250</v>
      </c>
      <c r="Y1281" s="420">
        <f>5250+5250</f>
        <v>10500</v>
      </c>
      <c r="Z1281" s="509">
        <f>4500+4500</f>
        <v>9000</v>
      </c>
      <c r="AA1281" s="552">
        <f>3750+3750</f>
        <v>7500</v>
      </c>
      <c r="AB1281" s="420">
        <f>3000+3000</f>
        <v>6000</v>
      </c>
      <c r="AC1281" s="420">
        <f>2700+2700</f>
        <v>5400</v>
      </c>
      <c r="AD1281" s="420">
        <f>2100+2100</f>
        <v>4200</v>
      </c>
      <c r="AE1281" s="420">
        <f>1800+1800</f>
        <v>3600</v>
      </c>
      <c r="AF1281" s="420">
        <f>1500+1500</f>
        <v>3000</v>
      </c>
      <c r="AG1281" s="420">
        <f>1200+1200</f>
        <v>2400</v>
      </c>
      <c r="AH1281" s="420">
        <f>900+900</f>
        <v>1800</v>
      </c>
      <c r="AI1281" s="420">
        <f>600+600</f>
        <v>1200</v>
      </c>
      <c r="AJ1281" s="420">
        <f>300+300</f>
        <v>600</v>
      </c>
      <c r="AK1281" s="17" t="s">
        <v>11</v>
      </c>
      <c r="AL1281" s="418"/>
      <c r="AM1281" s="418"/>
      <c r="AN1281" s="418"/>
      <c r="AO1281" s="418"/>
      <c r="AP1281" s="418"/>
      <c r="AQ1281" s="418"/>
      <c r="AR1281" s="418"/>
      <c r="AS1281" s="17"/>
      <c r="AT1281" s="17"/>
    </row>
    <row r="1282" spans="1:46" s="410" customFormat="1" ht="13.8" thickBot="1" x14ac:dyDescent="0.3">
      <c r="A1282" s="409" t="s">
        <v>1130</v>
      </c>
      <c r="B1282" s="120"/>
      <c r="C1282" s="307"/>
      <c r="D1282" s="85"/>
      <c r="E1282" s="390" t="s">
        <v>15</v>
      </c>
      <c r="F1282" s="391" t="s">
        <v>405</v>
      </c>
      <c r="G1282" s="141" t="s">
        <v>1145</v>
      </c>
      <c r="H1282" s="145"/>
      <c r="I1282" s="125"/>
      <c r="J1282" s="410" t="s">
        <v>5</v>
      </c>
      <c r="K1282" s="415">
        <f>K1281+K1280</f>
        <v>562200</v>
      </c>
      <c r="L1282" s="43"/>
      <c r="M1282" s="43"/>
      <c r="N1282" s="43"/>
      <c r="O1282" s="43"/>
      <c r="P1282" s="43">
        <f>P1281+P1280</f>
        <v>0</v>
      </c>
      <c r="Q1282" s="414"/>
      <c r="R1282" s="43">
        <f>R1281+R1280</f>
        <v>0</v>
      </c>
      <c r="S1282" s="43">
        <f>S1281+S1280</f>
        <v>0</v>
      </c>
      <c r="T1282" s="43"/>
      <c r="U1282" s="43"/>
      <c r="V1282" s="412">
        <f t="shared" ref="V1282:AJ1282" si="1032">V1281+V1280</f>
        <v>50750</v>
      </c>
      <c r="W1282" s="412">
        <f t="shared" si="1032"/>
        <v>49000</v>
      </c>
      <c r="X1282" s="412">
        <f t="shared" si="1032"/>
        <v>47250</v>
      </c>
      <c r="Y1282" s="412">
        <f t="shared" si="1032"/>
        <v>40500</v>
      </c>
      <c r="Z1282" s="510">
        <f t="shared" si="1032"/>
        <v>39000</v>
      </c>
      <c r="AA1282" s="553">
        <f t="shared" si="1032"/>
        <v>37500</v>
      </c>
      <c r="AB1282" s="412">
        <f t="shared" si="1032"/>
        <v>36000</v>
      </c>
      <c r="AC1282" s="412">
        <f t="shared" si="1032"/>
        <v>35400</v>
      </c>
      <c r="AD1282" s="412">
        <f t="shared" si="1032"/>
        <v>34200</v>
      </c>
      <c r="AE1282" s="412">
        <f t="shared" si="1032"/>
        <v>33600</v>
      </c>
      <c r="AF1282" s="412">
        <f t="shared" si="1032"/>
        <v>33000</v>
      </c>
      <c r="AG1282" s="412">
        <f t="shared" si="1032"/>
        <v>32400</v>
      </c>
      <c r="AH1282" s="412">
        <f t="shared" si="1032"/>
        <v>31800</v>
      </c>
      <c r="AI1282" s="412">
        <f t="shared" si="1032"/>
        <v>31200</v>
      </c>
      <c r="AJ1282" s="412">
        <f t="shared" si="1032"/>
        <v>30600</v>
      </c>
      <c r="AK1282" s="41" t="s">
        <v>11</v>
      </c>
      <c r="AL1282" s="411"/>
      <c r="AM1282" s="411"/>
      <c r="AN1282" s="411"/>
      <c r="AO1282" s="411"/>
      <c r="AP1282" s="411"/>
      <c r="AQ1282" s="411"/>
      <c r="AR1282" s="411"/>
      <c r="AS1282" s="41"/>
      <c r="AT1282" s="41"/>
    </row>
    <row r="1283" spans="1:46" s="417" customFormat="1" x14ac:dyDescent="0.25">
      <c r="A1283" s="26" t="s">
        <v>99</v>
      </c>
      <c r="B1283" s="26" t="s">
        <v>96</v>
      </c>
      <c r="C1283" s="306"/>
      <c r="D1283" s="54" t="s">
        <v>3</v>
      </c>
      <c r="E1283" s="389">
        <v>44301</v>
      </c>
      <c r="F1283" s="386" t="s">
        <v>266</v>
      </c>
      <c r="G1283" s="313" t="s">
        <v>766</v>
      </c>
      <c r="H1283" s="436">
        <v>31422287</v>
      </c>
      <c r="I1283" s="313">
        <v>586202</v>
      </c>
      <c r="J1283" s="2" t="s">
        <v>1</v>
      </c>
      <c r="K1283" s="27">
        <v>185000</v>
      </c>
      <c r="L1283" s="4"/>
      <c r="M1283" s="4"/>
      <c r="N1283" s="4"/>
      <c r="O1283" s="4"/>
      <c r="P1283" s="4"/>
      <c r="Q1283" s="422"/>
      <c r="R1283" s="422"/>
      <c r="S1283" s="422"/>
      <c r="T1283" s="422"/>
      <c r="U1283" s="421"/>
      <c r="V1283" s="420">
        <v>15000</v>
      </c>
      <c r="W1283" s="420">
        <v>15000</v>
      </c>
      <c r="X1283" s="420">
        <v>15000</v>
      </c>
      <c r="Y1283" s="420">
        <v>15000</v>
      </c>
      <c r="Z1283" s="509">
        <v>15000</v>
      </c>
      <c r="AA1283" s="552">
        <v>15000</v>
      </c>
      <c r="AB1283" s="420">
        <v>15000</v>
      </c>
      <c r="AC1283" s="420">
        <v>10000</v>
      </c>
      <c r="AD1283" s="420">
        <v>10000</v>
      </c>
      <c r="AE1283" s="420">
        <v>10000</v>
      </c>
      <c r="AF1283" s="420">
        <v>10000</v>
      </c>
      <c r="AG1283" s="420">
        <v>10000</v>
      </c>
      <c r="AH1283" s="420">
        <v>10000</v>
      </c>
      <c r="AI1283" s="420">
        <v>10000</v>
      </c>
      <c r="AJ1283" s="420">
        <v>10000</v>
      </c>
      <c r="AK1283" s="2" t="s">
        <v>11</v>
      </c>
      <c r="AL1283" s="424"/>
      <c r="AM1283" s="424"/>
      <c r="AN1283" s="424"/>
      <c r="AO1283" s="424"/>
      <c r="AP1283" s="424"/>
      <c r="AQ1283" s="424"/>
      <c r="AR1283" s="424"/>
      <c r="AS1283" s="2"/>
      <c r="AT1283" s="2"/>
    </row>
    <row r="1284" spans="1:46" s="417" customFormat="1" x14ac:dyDescent="0.25">
      <c r="A1284" s="400" t="s">
        <v>1247</v>
      </c>
      <c r="B1284" s="26"/>
      <c r="C1284" s="306"/>
      <c r="D1284" s="54"/>
      <c r="E1284" s="387" t="s">
        <v>12</v>
      </c>
      <c r="F1284" s="35"/>
      <c r="G1284" s="35" t="s">
        <v>1146</v>
      </c>
      <c r="H1284" s="146" t="s">
        <v>1107</v>
      </c>
      <c r="I1284" s="35"/>
      <c r="J1284" s="17" t="s">
        <v>2</v>
      </c>
      <c r="K1284" s="423">
        <v>37850</v>
      </c>
      <c r="L1284" s="11"/>
      <c r="M1284" s="11"/>
      <c r="N1284" s="11"/>
      <c r="O1284" s="11"/>
      <c r="P1284" s="4"/>
      <c r="Q1284" s="422"/>
      <c r="R1284" s="422"/>
      <c r="S1284" s="422"/>
      <c r="T1284" s="422"/>
      <c r="U1284" s="421"/>
      <c r="V1284" s="420">
        <f>3300+3300</f>
        <v>6600</v>
      </c>
      <c r="W1284" s="420">
        <f>2925+2925</f>
        <v>5850</v>
      </c>
      <c r="X1284" s="420">
        <f>2550+2550</f>
        <v>5100</v>
      </c>
      <c r="Y1284" s="420">
        <f>2175+2175</f>
        <v>4350</v>
      </c>
      <c r="Z1284" s="509">
        <f>1800+1800</f>
        <v>3600</v>
      </c>
      <c r="AA1284" s="552">
        <f>1425+1425</f>
        <v>2850</v>
      </c>
      <c r="AB1284" s="420">
        <f>1050+1050</f>
        <v>2100</v>
      </c>
      <c r="AC1284" s="420">
        <f>900+900</f>
        <v>1800</v>
      </c>
      <c r="AD1284" s="420">
        <f>700+700</f>
        <v>1400</v>
      </c>
      <c r="AE1284" s="420">
        <f>600+600</f>
        <v>1200</v>
      </c>
      <c r="AF1284" s="420">
        <f>500+500</f>
        <v>1000</v>
      </c>
      <c r="AG1284" s="420">
        <f>400+400</f>
        <v>800</v>
      </c>
      <c r="AH1284" s="420">
        <f>300+300</f>
        <v>600</v>
      </c>
      <c r="AI1284" s="420">
        <f>200+200</f>
        <v>400</v>
      </c>
      <c r="AJ1284" s="420">
        <f>100+100</f>
        <v>200</v>
      </c>
      <c r="AK1284" s="17" t="s">
        <v>11</v>
      </c>
      <c r="AL1284" s="418"/>
      <c r="AM1284" s="418"/>
      <c r="AN1284" s="418"/>
      <c r="AO1284" s="418"/>
      <c r="AP1284" s="418"/>
      <c r="AQ1284" s="418"/>
      <c r="AR1284" s="418"/>
      <c r="AS1284" s="17"/>
      <c r="AT1284" s="17"/>
    </row>
    <row r="1285" spans="1:46" s="410" customFormat="1" ht="13.8" thickBot="1" x14ac:dyDescent="0.3">
      <c r="A1285" s="409" t="s">
        <v>1130</v>
      </c>
      <c r="B1285" s="120"/>
      <c r="C1285" s="307"/>
      <c r="D1285" s="85"/>
      <c r="E1285" s="390" t="s">
        <v>15</v>
      </c>
      <c r="F1285" s="391" t="s">
        <v>405</v>
      </c>
      <c r="G1285" s="141" t="s">
        <v>1140</v>
      </c>
      <c r="H1285" s="145"/>
      <c r="I1285" s="125"/>
      <c r="J1285" s="410" t="s">
        <v>5</v>
      </c>
      <c r="K1285" s="415">
        <f>K1284+K1283</f>
        <v>222850</v>
      </c>
      <c r="L1285" s="43"/>
      <c r="M1285" s="43"/>
      <c r="N1285" s="43"/>
      <c r="O1285" s="43"/>
      <c r="P1285" s="43">
        <f>P1284+P1283</f>
        <v>0</v>
      </c>
      <c r="Q1285" s="414"/>
      <c r="R1285" s="43">
        <f>R1284+R1283</f>
        <v>0</v>
      </c>
      <c r="S1285" s="43">
        <f>S1284+S1283</f>
        <v>0</v>
      </c>
      <c r="T1285" s="43"/>
      <c r="U1285" s="43"/>
      <c r="V1285" s="412">
        <f t="shared" ref="V1285:AJ1285" si="1033">V1284+V1283</f>
        <v>21600</v>
      </c>
      <c r="W1285" s="412">
        <f t="shared" si="1033"/>
        <v>20850</v>
      </c>
      <c r="X1285" s="412">
        <f t="shared" si="1033"/>
        <v>20100</v>
      </c>
      <c r="Y1285" s="412">
        <f t="shared" si="1033"/>
        <v>19350</v>
      </c>
      <c r="Z1285" s="510">
        <f t="shared" si="1033"/>
        <v>18600</v>
      </c>
      <c r="AA1285" s="553">
        <f t="shared" si="1033"/>
        <v>17850</v>
      </c>
      <c r="AB1285" s="412">
        <f t="shared" si="1033"/>
        <v>17100</v>
      </c>
      <c r="AC1285" s="412">
        <f t="shared" si="1033"/>
        <v>11800</v>
      </c>
      <c r="AD1285" s="412">
        <f t="shared" si="1033"/>
        <v>11400</v>
      </c>
      <c r="AE1285" s="412">
        <f t="shared" si="1033"/>
        <v>11200</v>
      </c>
      <c r="AF1285" s="412">
        <f t="shared" si="1033"/>
        <v>11000</v>
      </c>
      <c r="AG1285" s="412">
        <f t="shared" si="1033"/>
        <v>10800</v>
      </c>
      <c r="AH1285" s="412">
        <f t="shared" si="1033"/>
        <v>10600</v>
      </c>
      <c r="AI1285" s="412">
        <f t="shared" si="1033"/>
        <v>10400</v>
      </c>
      <c r="AJ1285" s="412">
        <f t="shared" si="1033"/>
        <v>10200</v>
      </c>
      <c r="AK1285" s="41" t="s">
        <v>11</v>
      </c>
      <c r="AL1285" s="411"/>
      <c r="AM1285" s="411"/>
      <c r="AN1285" s="411"/>
      <c r="AO1285" s="411"/>
      <c r="AP1285" s="411"/>
      <c r="AQ1285" s="411"/>
      <c r="AR1285" s="411"/>
      <c r="AS1285" s="41"/>
      <c r="AT1285" s="41"/>
    </row>
    <row r="1286" spans="1:46" s="417" customFormat="1" x14ac:dyDescent="0.25">
      <c r="A1286" s="26" t="s">
        <v>102</v>
      </c>
      <c r="B1286" s="26" t="s">
        <v>96</v>
      </c>
      <c r="C1286" s="306"/>
      <c r="D1286" s="54" t="s">
        <v>3</v>
      </c>
      <c r="E1286" s="389">
        <v>44301</v>
      </c>
      <c r="F1286" s="425" t="s">
        <v>266</v>
      </c>
      <c r="G1286" s="314" t="s">
        <v>1112</v>
      </c>
      <c r="H1286" s="428">
        <v>31422287</v>
      </c>
      <c r="I1286" s="314">
        <v>585103</v>
      </c>
      <c r="J1286" s="2" t="s">
        <v>1</v>
      </c>
      <c r="K1286" s="27">
        <v>185000</v>
      </c>
      <c r="L1286" s="4"/>
      <c r="M1286" s="4"/>
      <c r="N1286" s="4"/>
      <c r="O1286" s="4"/>
      <c r="P1286" s="4"/>
      <c r="Q1286" s="422"/>
      <c r="R1286" s="422"/>
      <c r="S1286" s="422"/>
      <c r="T1286" s="422"/>
      <c r="U1286" s="421"/>
      <c r="V1286" s="420">
        <v>25000</v>
      </c>
      <c r="W1286" s="420">
        <v>20000</v>
      </c>
      <c r="X1286" s="420">
        <v>20000</v>
      </c>
      <c r="Y1286" s="420">
        <v>20000</v>
      </c>
      <c r="Z1286" s="509">
        <v>20000</v>
      </c>
      <c r="AA1286" s="552">
        <v>20000</v>
      </c>
      <c r="AB1286" s="420">
        <v>20000</v>
      </c>
      <c r="AC1286" s="420">
        <v>20000</v>
      </c>
      <c r="AD1286" s="420">
        <v>20000</v>
      </c>
      <c r="AE1286" s="2" t="s">
        <v>11</v>
      </c>
      <c r="AF1286" s="419"/>
      <c r="AG1286" s="419"/>
      <c r="AH1286" s="419"/>
      <c r="AI1286" s="419"/>
      <c r="AJ1286" s="419"/>
      <c r="AK1286" s="424"/>
      <c r="AL1286" s="424"/>
      <c r="AM1286" s="424"/>
      <c r="AN1286" s="424"/>
      <c r="AO1286" s="424"/>
      <c r="AP1286" s="424"/>
      <c r="AQ1286" s="424"/>
      <c r="AR1286" s="424"/>
      <c r="AS1286" s="2"/>
      <c r="AT1286" s="2"/>
    </row>
    <row r="1287" spans="1:46" s="417" customFormat="1" x14ac:dyDescent="0.25">
      <c r="A1287" s="400" t="s">
        <v>1246</v>
      </c>
      <c r="B1287" s="26"/>
      <c r="C1287" s="306"/>
      <c r="D1287" s="54"/>
      <c r="E1287" s="387" t="s">
        <v>12</v>
      </c>
      <c r="F1287" s="35"/>
      <c r="G1287" s="35" t="s">
        <v>1113</v>
      </c>
      <c r="H1287" s="146" t="s">
        <v>1105</v>
      </c>
      <c r="I1287" s="35"/>
      <c r="J1287" s="17" t="s">
        <v>2</v>
      </c>
      <c r="K1287" s="423">
        <v>34050</v>
      </c>
      <c r="L1287" s="11"/>
      <c r="M1287" s="11"/>
      <c r="N1287" s="11"/>
      <c r="O1287" s="11"/>
      <c r="P1287" s="4"/>
      <c r="Q1287" s="422"/>
      <c r="R1287" s="422"/>
      <c r="S1287" s="422"/>
      <c r="T1287" s="422"/>
      <c r="U1287" s="421"/>
      <c r="V1287" s="420">
        <f>3925+3925</f>
        <v>7850</v>
      </c>
      <c r="W1287" s="420">
        <f>3300+3300</f>
        <v>6600</v>
      </c>
      <c r="X1287" s="420">
        <f>2800+2800</f>
        <v>5600</v>
      </c>
      <c r="Y1287" s="420">
        <f>2300+2300</f>
        <v>4600</v>
      </c>
      <c r="Z1287" s="509">
        <f>1800+1800</f>
        <v>3600</v>
      </c>
      <c r="AA1287" s="552">
        <f>1300+1300</f>
        <v>2600</v>
      </c>
      <c r="AB1287" s="420">
        <f>800+800</f>
        <v>1600</v>
      </c>
      <c r="AC1287" s="420">
        <f>600+600</f>
        <v>1200</v>
      </c>
      <c r="AD1287" s="420">
        <f>200+200</f>
        <v>400</v>
      </c>
      <c r="AE1287" s="17" t="s">
        <v>11</v>
      </c>
      <c r="AF1287" s="419"/>
      <c r="AG1287" s="419"/>
      <c r="AH1287" s="419"/>
      <c r="AI1287" s="419"/>
      <c r="AJ1287" s="419"/>
      <c r="AK1287" s="418"/>
      <c r="AL1287" s="418"/>
      <c r="AM1287" s="418"/>
      <c r="AN1287" s="418"/>
      <c r="AO1287" s="418"/>
      <c r="AP1287" s="418"/>
      <c r="AQ1287" s="418"/>
      <c r="AR1287" s="418"/>
      <c r="AS1287" s="17"/>
      <c r="AT1287" s="17"/>
    </row>
    <row r="1288" spans="1:46" s="410" customFormat="1" ht="13.8" thickBot="1" x14ac:dyDescent="0.3">
      <c r="A1288" s="409" t="s">
        <v>1130</v>
      </c>
      <c r="B1288" s="120"/>
      <c r="C1288" s="307"/>
      <c r="D1288" s="85"/>
      <c r="E1288" s="390" t="s">
        <v>160</v>
      </c>
      <c r="F1288" s="391" t="s">
        <v>405</v>
      </c>
      <c r="G1288" s="147" t="s">
        <v>1210</v>
      </c>
      <c r="H1288" s="145"/>
      <c r="I1288" s="125"/>
      <c r="J1288" s="410" t="s">
        <v>5</v>
      </c>
      <c r="K1288" s="415">
        <f>K1287+K1286</f>
        <v>219050</v>
      </c>
      <c r="L1288" s="43"/>
      <c r="M1288" s="43"/>
      <c r="N1288" s="43"/>
      <c r="O1288" s="43"/>
      <c r="P1288" s="43">
        <f>P1287+P1286</f>
        <v>0</v>
      </c>
      <c r="Q1288" s="414"/>
      <c r="R1288" s="43">
        <f>R1287+R1286</f>
        <v>0</v>
      </c>
      <c r="S1288" s="43">
        <f>S1287+S1286</f>
        <v>0</v>
      </c>
      <c r="T1288" s="43"/>
      <c r="U1288" s="43"/>
      <c r="V1288" s="412">
        <f t="shared" ref="V1288:AD1288" si="1034">V1287+V1286</f>
        <v>32850</v>
      </c>
      <c r="W1288" s="412">
        <f t="shared" si="1034"/>
        <v>26600</v>
      </c>
      <c r="X1288" s="412">
        <f t="shared" si="1034"/>
        <v>25600</v>
      </c>
      <c r="Y1288" s="412">
        <f t="shared" si="1034"/>
        <v>24600</v>
      </c>
      <c r="Z1288" s="510">
        <f t="shared" si="1034"/>
        <v>23600</v>
      </c>
      <c r="AA1288" s="553">
        <f t="shared" si="1034"/>
        <v>22600</v>
      </c>
      <c r="AB1288" s="412">
        <f t="shared" si="1034"/>
        <v>21600</v>
      </c>
      <c r="AC1288" s="412">
        <f t="shared" si="1034"/>
        <v>21200</v>
      </c>
      <c r="AD1288" s="412">
        <f t="shared" si="1034"/>
        <v>20400</v>
      </c>
      <c r="AE1288" s="41" t="s">
        <v>11</v>
      </c>
      <c r="AF1288" s="412"/>
      <c r="AG1288" s="412"/>
      <c r="AH1288" s="412"/>
      <c r="AI1288" s="412"/>
      <c r="AJ1288" s="412"/>
      <c r="AK1288" s="411"/>
      <c r="AL1288" s="411"/>
      <c r="AM1288" s="411"/>
      <c r="AN1288" s="411"/>
      <c r="AO1288" s="411"/>
      <c r="AP1288" s="411"/>
      <c r="AQ1288" s="411"/>
      <c r="AR1288" s="411"/>
      <c r="AS1288" s="41"/>
      <c r="AT1288" s="41"/>
    </row>
    <row r="1289" spans="1:46" s="417" customFormat="1" x14ac:dyDescent="0.25">
      <c r="A1289" s="26" t="s">
        <v>99</v>
      </c>
      <c r="B1289" s="26" t="s">
        <v>96</v>
      </c>
      <c r="C1289" s="306"/>
      <c r="D1289" s="54" t="s">
        <v>3</v>
      </c>
      <c r="E1289" s="34">
        <v>44301</v>
      </c>
      <c r="F1289" s="385" t="s">
        <v>266</v>
      </c>
      <c r="G1289" s="313" t="s">
        <v>892</v>
      </c>
      <c r="H1289" s="436">
        <v>31422278</v>
      </c>
      <c r="I1289" s="313">
        <v>586208</v>
      </c>
      <c r="J1289" s="2" t="s">
        <v>1</v>
      </c>
      <c r="K1289" s="27">
        <v>470000</v>
      </c>
      <c r="L1289" s="4"/>
      <c r="M1289" s="4"/>
      <c r="N1289" s="4"/>
      <c r="O1289" s="4"/>
      <c r="P1289" s="4"/>
      <c r="Q1289" s="4"/>
      <c r="R1289" s="432"/>
      <c r="S1289" s="432"/>
      <c r="T1289" s="432"/>
      <c r="U1289" s="421"/>
      <c r="V1289" s="420">
        <v>25000</v>
      </c>
      <c r="W1289" s="420">
        <v>25000</v>
      </c>
      <c r="X1289" s="420">
        <v>25000</v>
      </c>
      <c r="Y1289" s="420">
        <v>25000</v>
      </c>
      <c r="Z1289" s="509">
        <v>25000</v>
      </c>
      <c r="AA1289" s="552">
        <v>25000</v>
      </c>
      <c r="AB1289" s="420">
        <v>25000</v>
      </c>
      <c r="AC1289" s="420">
        <v>25000</v>
      </c>
      <c r="AD1289" s="420">
        <v>25000</v>
      </c>
      <c r="AE1289" s="420">
        <v>25000</v>
      </c>
      <c r="AF1289" s="420">
        <v>25000</v>
      </c>
      <c r="AG1289" s="420">
        <v>25000</v>
      </c>
      <c r="AH1289" s="420">
        <v>25000</v>
      </c>
      <c r="AI1289" s="420">
        <v>25000</v>
      </c>
      <c r="AJ1289" s="420">
        <v>20000</v>
      </c>
      <c r="AK1289" s="420">
        <v>20000</v>
      </c>
      <c r="AL1289" s="420">
        <v>20000</v>
      </c>
      <c r="AM1289" s="420">
        <v>20000</v>
      </c>
      <c r="AN1289" s="420">
        <v>20000</v>
      </c>
      <c r="AO1289" s="420">
        <v>20000</v>
      </c>
      <c r="AP1289" s="2" t="s">
        <v>11</v>
      </c>
      <c r="AQ1289" s="424"/>
      <c r="AR1289" s="424"/>
      <c r="AS1289" s="2"/>
      <c r="AT1289" s="2"/>
    </row>
    <row r="1290" spans="1:46" s="417" customFormat="1" x14ac:dyDescent="0.25">
      <c r="A1290" s="400" t="s">
        <v>1245</v>
      </c>
      <c r="B1290" s="26"/>
      <c r="C1290" s="306"/>
      <c r="D1290" s="54"/>
      <c r="E1290" s="34" t="s">
        <v>12</v>
      </c>
      <c r="F1290" s="34"/>
      <c r="G1290" s="35" t="s">
        <v>1153</v>
      </c>
      <c r="H1290" s="146" t="s">
        <v>1108</v>
      </c>
      <c r="I1290" s="35"/>
      <c r="J1290" s="17" t="s">
        <v>2</v>
      </c>
      <c r="K1290" s="423">
        <v>114250</v>
      </c>
      <c r="L1290" s="11"/>
      <c r="M1290" s="11"/>
      <c r="N1290" s="11"/>
      <c r="O1290" s="11"/>
      <c r="P1290" s="4"/>
      <c r="Q1290" s="4"/>
      <c r="R1290" s="432"/>
      <c r="S1290" s="432"/>
      <c r="T1290" s="432"/>
      <c r="U1290" s="421"/>
      <c r="V1290" s="420">
        <f>7200+7200</f>
        <v>14400</v>
      </c>
      <c r="W1290" s="420">
        <f>6575+6575</f>
        <v>13150</v>
      </c>
      <c r="X1290" s="420">
        <f>5950+5950</f>
        <v>11900</v>
      </c>
      <c r="Y1290" s="420">
        <f>5325+5325</f>
        <v>10650</v>
      </c>
      <c r="Z1290" s="509">
        <f>4700+4700</f>
        <v>9400</v>
      </c>
      <c r="AA1290" s="552">
        <f>4075+4075</f>
        <v>8150</v>
      </c>
      <c r="AB1290" s="420">
        <f>3450+3450</f>
        <v>6900</v>
      </c>
      <c r="AC1290" s="420">
        <f>3200+3200</f>
        <v>6400</v>
      </c>
      <c r="AD1290" s="420">
        <f>2700+2700</f>
        <v>5400</v>
      </c>
      <c r="AE1290" s="420">
        <f>2450+2450</f>
        <v>4900</v>
      </c>
      <c r="AF1290" s="420">
        <f>2200+2200</f>
        <v>4400</v>
      </c>
      <c r="AG1290" s="420">
        <f>1950+1950</f>
        <v>3900</v>
      </c>
      <c r="AH1290" s="420">
        <f>1700+1700</f>
        <v>3400</v>
      </c>
      <c r="AI1290" s="420">
        <f>1450+1450</f>
        <v>2900</v>
      </c>
      <c r="AJ1290" s="420">
        <f>1200+1200</f>
        <v>2400</v>
      </c>
      <c r="AK1290" s="420">
        <f>1000+1000</f>
        <v>2000</v>
      </c>
      <c r="AL1290" s="420">
        <f>800+800</f>
        <v>1600</v>
      </c>
      <c r="AM1290" s="420">
        <f>600+600</f>
        <v>1200</v>
      </c>
      <c r="AN1290" s="420">
        <f>400+400</f>
        <v>800</v>
      </c>
      <c r="AO1290" s="420">
        <f>200+200</f>
        <v>400</v>
      </c>
      <c r="AP1290" s="17" t="s">
        <v>11</v>
      </c>
      <c r="AQ1290" s="418"/>
      <c r="AR1290" s="418"/>
      <c r="AS1290" s="17"/>
      <c r="AT1290" s="17"/>
    </row>
    <row r="1291" spans="1:46" s="410" customFormat="1" ht="13.8" thickBot="1" x14ac:dyDescent="0.3">
      <c r="A1291" s="409" t="s">
        <v>1130</v>
      </c>
      <c r="B1291" s="120"/>
      <c r="C1291" s="307"/>
      <c r="D1291" s="85"/>
      <c r="E1291" s="86" t="s">
        <v>15</v>
      </c>
      <c r="F1291" s="86" t="s">
        <v>405</v>
      </c>
      <c r="G1291" s="141" t="s">
        <v>1154</v>
      </c>
      <c r="H1291" s="145"/>
      <c r="I1291" s="125"/>
      <c r="J1291" s="410" t="s">
        <v>5</v>
      </c>
      <c r="K1291" s="415">
        <f>K1290+K1289</f>
        <v>584250</v>
      </c>
      <c r="L1291" s="43"/>
      <c r="M1291" s="43"/>
      <c r="N1291" s="43"/>
      <c r="O1291" s="43"/>
      <c r="P1291" s="43">
        <f>P1290+P1289</f>
        <v>0</v>
      </c>
      <c r="Q1291" s="43"/>
      <c r="R1291" s="43">
        <f>R1290+R1289</f>
        <v>0</v>
      </c>
      <c r="S1291" s="43">
        <f>S1290+S1289</f>
        <v>0</v>
      </c>
      <c r="T1291" s="43"/>
      <c r="U1291" s="43"/>
      <c r="V1291" s="412">
        <f t="shared" ref="V1291:AO1291" si="1035">V1290+V1289</f>
        <v>39400</v>
      </c>
      <c r="W1291" s="412">
        <f t="shared" si="1035"/>
        <v>38150</v>
      </c>
      <c r="X1291" s="412">
        <f t="shared" si="1035"/>
        <v>36900</v>
      </c>
      <c r="Y1291" s="412">
        <f t="shared" si="1035"/>
        <v>35650</v>
      </c>
      <c r="Z1291" s="510">
        <f t="shared" si="1035"/>
        <v>34400</v>
      </c>
      <c r="AA1291" s="553">
        <f t="shared" si="1035"/>
        <v>33150</v>
      </c>
      <c r="AB1291" s="412">
        <f t="shared" si="1035"/>
        <v>31900</v>
      </c>
      <c r="AC1291" s="412">
        <f t="shared" si="1035"/>
        <v>31400</v>
      </c>
      <c r="AD1291" s="412">
        <f t="shared" si="1035"/>
        <v>30400</v>
      </c>
      <c r="AE1291" s="412">
        <f t="shared" si="1035"/>
        <v>29900</v>
      </c>
      <c r="AF1291" s="412">
        <f t="shared" si="1035"/>
        <v>29400</v>
      </c>
      <c r="AG1291" s="412">
        <f t="shared" si="1035"/>
        <v>28900</v>
      </c>
      <c r="AH1291" s="412">
        <f t="shared" si="1035"/>
        <v>28400</v>
      </c>
      <c r="AI1291" s="412">
        <f t="shared" si="1035"/>
        <v>27900</v>
      </c>
      <c r="AJ1291" s="412">
        <f t="shared" si="1035"/>
        <v>22400</v>
      </c>
      <c r="AK1291" s="412">
        <f t="shared" si="1035"/>
        <v>22000</v>
      </c>
      <c r="AL1291" s="412">
        <f t="shared" si="1035"/>
        <v>21600</v>
      </c>
      <c r="AM1291" s="412">
        <f t="shared" si="1035"/>
        <v>21200</v>
      </c>
      <c r="AN1291" s="412">
        <f t="shared" si="1035"/>
        <v>20800</v>
      </c>
      <c r="AO1291" s="412">
        <f t="shared" si="1035"/>
        <v>20400</v>
      </c>
      <c r="AP1291" s="41" t="s">
        <v>11</v>
      </c>
      <c r="AQ1291" s="411"/>
      <c r="AR1291" s="411"/>
      <c r="AS1291" s="41"/>
      <c r="AT1291" s="41"/>
    </row>
    <row r="1292" spans="1:46" s="417" customFormat="1" x14ac:dyDescent="0.25">
      <c r="A1292" s="26" t="s">
        <v>99</v>
      </c>
      <c r="B1292" s="26" t="s">
        <v>96</v>
      </c>
      <c r="C1292" s="306"/>
      <c r="D1292" s="54" t="s">
        <v>3</v>
      </c>
      <c r="E1292" s="34">
        <v>44301</v>
      </c>
      <c r="F1292" s="425" t="s">
        <v>258</v>
      </c>
      <c r="G1292" s="436" t="s">
        <v>758</v>
      </c>
      <c r="H1292" s="436">
        <v>31122271</v>
      </c>
      <c r="I1292" s="436">
        <v>582009</v>
      </c>
      <c r="J1292" s="2" t="s">
        <v>1</v>
      </c>
      <c r="K1292" s="27">
        <v>235000</v>
      </c>
      <c r="L1292" s="4"/>
      <c r="M1292" s="4"/>
      <c r="N1292" s="4"/>
      <c r="O1292" s="4"/>
      <c r="P1292" s="4"/>
      <c r="Q1292" s="422"/>
      <c r="R1292" s="422"/>
      <c r="S1292" s="422"/>
      <c r="T1292" s="422"/>
      <c r="U1292" s="421"/>
      <c r="V1292" s="420">
        <v>20000</v>
      </c>
      <c r="W1292" s="420">
        <v>20000</v>
      </c>
      <c r="X1292" s="420">
        <v>15000</v>
      </c>
      <c r="Y1292" s="420">
        <v>15000</v>
      </c>
      <c r="Z1292" s="509">
        <v>15000</v>
      </c>
      <c r="AA1292" s="552">
        <v>15000</v>
      </c>
      <c r="AB1292" s="420">
        <v>15000</v>
      </c>
      <c r="AC1292" s="420">
        <v>15000</v>
      </c>
      <c r="AD1292" s="420">
        <v>15000</v>
      </c>
      <c r="AE1292" s="420">
        <v>15000</v>
      </c>
      <c r="AF1292" s="420">
        <v>15000</v>
      </c>
      <c r="AG1292" s="420">
        <v>15000</v>
      </c>
      <c r="AH1292" s="420">
        <v>15000</v>
      </c>
      <c r="AI1292" s="420">
        <v>15000</v>
      </c>
      <c r="AJ1292" s="420">
        <v>15000</v>
      </c>
      <c r="AK1292" s="2" t="s">
        <v>11</v>
      </c>
      <c r="AL1292" s="424"/>
      <c r="AM1292" s="424"/>
      <c r="AN1292" s="424"/>
      <c r="AO1292" s="424"/>
      <c r="AP1292" s="424"/>
      <c r="AQ1292" s="424"/>
      <c r="AR1292" s="424"/>
      <c r="AS1292" s="2"/>
      <c r="AT1292" s="2"/>
    </row>
    <row r="1293" spans="1:46" s="417" customFormat="1" x14ac:dyDescent="0.25">
      <c r="A1293" s="400" t="s">
        <v>1249</v>
      </c>
      <c r="B1293" s="26"/>
      <c r="C1293" s="306"/>
      <c r="D1293" s="54"/>
      <c r="E1293" s="34" t="s">
        <v>12</v>
      </c>
      <c r="F1293" s="35"/>
      <c r="G1293" s="146" t="s">
        <v>1155</v>
      </c>
      <c r="H1293" s="146" t="s">
        <v>1107</v>
      </c>
      <c r="I1293" s="146"/>
      <c r="J1293" s="17" t="s">
        <v>2</v>
      </c>
      <c r="K1293" s="423">
        <v>48600</v>
      </c>
      <c r="L1293" s="11"/>
      <c r="M1293" s="11"/>
      <c r="N1293" s="11"/>
      <c r="O1293" s="11"/>
      <c r="P1293" s="4"/>
      <c r="Q1293" s="422"/>
      <c r="R1293" s="422"/>
      <c r="S1293" s="422"/>
      <c r="T1293" s="422"/>
      <c r="U1293" s="421"/>
      <c r="V1293" s="420">
        <f>4000+4000</f>
        <v>8000</v>
      </c>
      <c r="W1293" s="420">
        <f>3500+3500</f>
        <v>7000</v>
      </c>
      <c r="X1293" s="420">
        <f>3000+3000</f>
        <v>6000</v>
      </c>
      <c r="Y1293" s="420">
        <f>2625+2625</f>
        <v>5250</v>
      </c>
      <c r="Z1293" s="509">
        <f>2250+2250</f>
        <v>4500</v>
      </c>
      <c r="AA1293" s="552">
        <f>1875+1875</f>
        <v>3750</v>
      </c>
      <c r="AB1293" s="420">
        <f>1500+1500</f>
        <v>3000</v>
      </c>
      <c r="AC1293" s="420">
        <f>1350+1350</f>
        <v>2700</v>
      </c>
      <c r="AD1293" s="420">
        <f>1050+1050</f>
        <v>2100</v>
      </c>
      <c r="AE1293" s="420">
        <f>900+900</f>
        <v>1800</v>
      </c>
      <c r="AF1293" s="420">
        <f>750+750</f>
        <v>1500</v>
      </c>
      <c r="AG1293" s="420">
        <f>600+600</f>
        <v>1200</v>
      </c>
      <c r="AH1293" s="420">
        <f>450+450</f>
        <v>900</v>
      </c>
      <c r="AI1293" s="420">
        <f>300+300</f>
        <v>600</v>
      </c>
      <c r="AJ1293" s="420">
        <f>150+150</f>
        <v>300</v>
      </c>
      <c r="AK1293" s="17" t="s">
        <v>11</v>
      </c>
      <c r="AL1293" s="418"/>
      <c r="AM1293" s="418"/>
      <c r="AN1293" s="418"/>
      <c r="AO1293" s="418"/>
      <c r="AP1293" s="418"/>
      <c r="AQ1293" s="418"/>
      <c r="AR1293" s="418"/>
      <c r="AS1293" s="17"/>
      <c r="AT1293" s="17"/>
    </row>
    <row r="1294" spans="1:46" s="410" customFormat="1" ht="13.8" thickBot="1" x14ac:dyDescent="0.3">
      <c r="A1294" s="409" t="s">
        <v>1130</v>
      </c>
      <c r="B1294" s="120"/>
      <c r="C1294" s="307"/>
      <c r="D1294" s="85"/>
      <c r="E1294" s="86" t="s">
        <v>15</v>
      </c>
      <c r="F1294" s="391" t="s">
        <v>412</v>
      </c>
      <c r="G1294" s="141" t="s">
        <v>1140</v>
      </c>
      <c r="H1294" s="437"/>
      <c r="I1294" s="145"/>
      <c r="J1294" s="410" t="s">
        <v>5</v>
      </c>
      <c r="K1294" s="415">
        <f>K1293+K1292</f>
        <v>283600</v>
      </c>
      <c r="L1294" s="43"/>
      <c r="M1294" s="43"/>
      <c r="N1294" s="43"/>
      <c r="O1294" s="43"/>
      <c r="P1294" s="43">
        <f>P1293+P1292</f>
        <v>0</v>
      </c>
      <c r="Q1294" s="414"/>
      <c r="R1294" s="43">
        <f>R1293+R1292</f>
        <v>0</v>
      </c>
      <c r="S1294" s="43">
        <f>S1293+S1292</f>
        <v>0</v>
      </c>
      <c r="T1294" s="43"/>
      <c r="U1294" s="43"/>
      <c r="V1294" s="412">
        <f t="shared" ref="V1294:AJ1294" si="1036">V1293+V1292</f>
        <v>28000</v>
      </c>
      <c r="W1294" s="412">
        <f t="shared" si="1036"/>
        <v>27000</v>
      </c>
      <c r="X1294" s="412">
        <f t="shared" si="1036"/>
        <v>21000</v>
      </c>
      <c r="Y1294" s="412">
        <f t="shared" si="1036"/>
        <v>20250</v>
      </c>
      <c r="Z1294" s="510">
        <f t="shared" si="1036"/>
        <v>19500</v>
      </c>
      <c r="AA1294" s="553">
        <f t="shared" si="1036"/>
        <v>18750</v>
      </c>
      <c r="AB1294" s="412">
        <f t="shared" si="1036"/>
        <v>18000</v>
      </c>
      <c r="AC1294" s="412">
        <f t="shared" si="1036"/>
        <v>17700</v>
      </c>
      <c r="AD1294" s="412">
        <f t="shared" si="1036"/>
        <v>17100</v>
      </c>
      <c r="AE1294" s="412">
        <f t="shared" si="1036"/>
        <v>16800</v>
      </c>
      <c r="AF1294" s="412">
        <f t="shared" si="1036"/>
        <v>16500</v>
      </c>
      <c r="AG1294" s="412">
        <f t="shared" si="1036"/>
        <v>16200</v>
      </c>
      <c r="AH1294" s="412">
        <f t="shared" si="1036"/>
        <v>15900</v>
      </c>
      <c r="AI1294" s="412">
        <f t="shared" si="1036"/>
        <v>15600</v>
      </c>
      <c r="AJ1294" s="412">
        <f t="shared" si="1036"/>
        <v>15300</v>
      </c>
      <c r="AK1294" s="41" t="s">
        <v>11</v>
      </c>
      <c r="AL1294" s="411"/>
      <c r="AM1294" s="411"/>
      <c r="AN1294" s="411"/>
      <c r="AO1294" s="411"/>
      <c r="AP1294" s="411"/>
      <c r="AQ1294" s="411"/>
      <c r="AR1294" s="411"/>
      <c r="AS1294" s="41"/>
      <c r="AT1294" s="41"/>
    </row>
    <row r="1295" spans="1:46" s="3" customFormat="1" x14ac:dyDescent="0.25">
      <c r="A1295" s="121"/>
      <c r="B1295" s="121"/>
      <c r="C1295" s="306"/>
      <c r="D1295" s="54"/>
      <c r="E1295" s="54"/>
      <c r="F1295" s="54"/>
      <c r="G1295" s="36" t="s">
        <v>32</v>
      </c>
      <c r="H1295" s="152">
        <v>1774519</v>
      </c>
      <c r="I1295" s="36">
        <v>591100</v>
      </c>
      <c r="J1295" s="33" t="s">
        <v>1</v>
      </c>
      <c r="K1295" s="37">
        <f>K1265+K1268+K1271+K1274+K1277+K1280+K1283+K1286+K1289+K1292</f>
        <v>3675000</v>
      </c>
      <c r="L1295" s="7"/>
      <c r="M1295" s="7"/>
      <c r="N1295" s="67"/>
      <c r="O1295" s="67"/>
      <c r="P1295" s="67"/>
      <c r="Q1295" s="67"/>
      <c r="R1295" s="67"/>
      <c r="S1295" s="67"/>
      <c r="T1295" s="67" t="e">
        <f>#REF!+#REF!+#REF!+#REF!+#REF!+#REF!+#REF!+#REF!+#REF!+#REF!+#REF!+#REF!+#REF!+#REF!</f>
        <v>#REF!</v>
      </c>
      <c r="U1295" s="67"/>
      <c r="V1295" s="67">
        <f>V1292+V1289+V1286+V1283+V1280+V1277+V1274+V1271+V1268+V1265</f>
        <v>335000</v>
      </c>
      <c r="W1295" s="67">
        <f>W1292+W1289+W1286+W1283+W1280+W1277+W1274+W1271+W1268+W1265</f>
        <v>330000</v>
      </c>
      <c r="X1295" s="67">
        <f t="shared" ref="X1295:Z1295" si="1037">X1292+X1289+X1286+X1283+X1280+X1277+X1274+X1271+X1268+X1265</f>
        <v>325000</v>
      </c>
      <c r="Y1295" s="67">
        <f t="shared" si="1037"/>
        <v>315000</v>
      </c>
      <c r="Z1295" s="507">
        <f t="shared" si="1037"/>
        <v>315000</v>
      </c>
      <c r="AA1295" s="546">
        <f>AA1292+AA1289+AA1286+AA1283+AA1280+AA1277+AA1274+AA1271+AA1268</f>
        <v>205000</v>
      </c>
      <c r="AB1295" s="67">
        <f t="shared" ref="AB1295:AD1295" si="1038">AB1292+AB1289+AB1286+AB1283+AB1280+AB1277+AB1274+AB1271+AB1268</f>
        <v>205000</v>
      </c>
      <c r="AC1295" s="67">
        <f t="shared" si="1038"/>
        <v>190000</v>
      </c>
      <c r="AD1295" s="67">
        <f t="shared" si="1038"/>
        <v>190000</v>
      </c>
      <c r="AE1295" s="67">
        <f>AE1292+AE1289+AE1283+AE1280+AE1277+AE1274+AE1271+AE1268</f>
        <v>170000</v>
      </c>
      <c r="AF1295" s="67">
        <f>AF1292+AF1289+AF1283+AF1280+AF1268</f>
        <v>140000</v>
      </c>
      <c r="AG1295" s="67">
        <f t="shared" ref="AG1295:AJ1295" si="1039">AG1292+AG1289+AG1283+AG1280+AG1268</f>
        <v>140000</v>
      </c>
      <c r="AH1295" s="67">
        <f t="shared" si="1039"/>
        <v>140000</v>
      </c>
      <c r="AI1295" s="67">
        <f t="shared" si="1039"/>
        <v>140000</v>
      </c>
      <c r="AJ1295" s="67">
        <f t="shared" si="1039"/>
        <v>135000</v>
      </c>
      <c r="AK1295" s="67">
        <f>AK1289+AK1268</f>
        <v>80000</v>
      </c>
      <c r="AL1295" s="67">
        <f t="shared" ref="AL1295:AO1295" si="1040">AL1289+AL1268</f>
        <v>80000</v>
      </c>
      <c r="AM1295" s="67">
        <f t="shared" si="1040"/>
        <v>80000</v>
      </c>
      <c r="AN1295" s="67">
        <f t="shared" si="1040"/>
        <v>80000</v>
      </c>
      <c r="AO1295" s="67">
        <f t="shared" si="1040"/>
        <v>80000</v>
      </c>
      <c r="AP1295" s="3" t="s">
        <v>11</v>
      </c>
    </row>
    <row r="1296" spans="1:46" s="3" customFormat="1" x14ac:dyDescent="0.25">
      <c r="A1296" s="121"/>
      <c r="B1296" s="121"/>
      <c r="C1296" s="306"/>
      <c r="D1296" s="54"/>
      <c r="E1296" s="54"/>
      <c r="F1296" s="54"/>
      <c r="G1296" s="33"/>
      <c r="H1296" s="152">
        <v>1774519</v>
      </c>
      <c r="I1296" s="33">
        <v>595100</v>
      </c>
      <c r="J1296" s="38" t="s">
        <v>2</v>
      </c>
      <c r="K1296" s="37">
        <f>K1266+K1269+K1272+K1275+K1278+K1281+K1284+K1287+K1290+K1293</f>
        <v>783950</v>
      </c>
      <c r="L1296" s="16"/>
      <c r="M1296" s="16"/>
      <c r="N1296" s="7"/>
      <c r="O1296" s="7"/>
      <c r="P1296" s="7"/>
      <c r="Q1296" s="7"/>
      <c r="R1296" s="7"/>
      <c r="S1296" s="7"/>
      <c r="T1296" s="7" t="e">
        <f>#REF!+#REF!+#REF!+#REF!+#REF!+#REF!+#REF!+#REF!+#REF!+#REF!+#REF!+#REF!+#REF!+#REF!</f>
        <v>#REF!</v>
      </c>
      <c r="U1296" s="7"/>
      <c r="V1296" s="7">
        <f>V1293+V1290+V1287+V1284+V1281+V1278+V1275+V1272+V1269+V1266</f>
        <v>132050</v>
      </c>
      <c r="W1296" s="7">
        <f>W1293+W1290+W1287+W1284+W1281+W1278+W1275+W1272+W1269+W1266</f>
        <v>115300</v>
      </c>
      <c r="X1296" s="7">
        <f t="shared" ref="X1296:Z1296" si="1041">X1293+X1290+X1287+X1284+X1281+X1278+X1275+X1272+X1269+X1266</f>
        <v>98800</v>
      </c>
      <c r="Y1296" s="7">
        <f t="shared" si="1041"/>
        <v>82550</v>
      </c>
      <c r="Z1296" s="501">
        <f t="shared" si="1041"/>
        <v>66800</v>
      </c>
      <c r="AA1296" s="540">
        <f>AA1293+AA1290+AA1287+AA1284+AA1281+AA1278+AA1275+AA1272+AA1269</f>
        <v>51050</v>
      </c>
      <c r="AB1296" s="7">
        <f t="shared" ref="AB1296:AD1296" si="1042">AB1293+AB1290+AB1287+AB1284+AB1281+AB1278+AB1275+AB1272+AB1269</f>
        <v>40800</v>
      </c>
      <c r="AC1296" s="7">
        <f t="shared" si="1042"/>
        <v>36700</v>
      </c>
      <c r="AD1296" s="7">
        <f t="shared" si="1042"/>
        <v>29100</v>
      </c>
      <c r="AE1296" s="7">
        <f>AE1293+AE1290+AE1284+AE1281+AE1278+AE1275+AE1272+AE1269</f>
        <v>25300</v>
      </c>
      <c r="AF1296" s="7">
        <f>AF1293+AF1290+AF1284+AF1281+AF1269</f>
        <v>21900</v>
      </c>
      <c r="AG1296" s="7">
        <f t="shared" ref="AG1296:AJ1296" si="1043">AG1293+AG1290+AG1284+AG1281+AG1269</f>
        <v>19100</v>
      </c>
      <c r="AH1296" s="7">
        <f t="shared" si="1043"/>
        <v>16300</v>
      </c>
      <c r="AI1296" s="7">
        <f t="shared" si="1043"/>
        <v>13500</v>
      </c>
      <c r="AJ1296" s="7">
        <f t="shared" si="1043"/>
        <v>10700</v>
      </c>
      <c r="AK1296" s="7">
        <f>AK1290+AK1269</f>
        <v>8000</v>
      </c>
      <c r="AL1296" s="7">
        <f t="shared" ref="AL1296:AO1296" si="1044">AL1290+AL1269</f>
        <v>6400</v>
      </c>
      <c r="AM1296" s="7">
        <f t="shared" si="1044"/>
        <v>4800</v>
      </c>
      <c r="AN1296" s="7">
        <f t="shared" si="1044"/>
        <v>3200</v>
      </c>
      <c r="AO1296" s="7">
        <f t="shared" si="1044"/>
        <v>1600</v>
      </c>
      <c r="AP1296" s="20" t="s">
        <v>11</v>
      </c>
      <c r="AQ1296" s="20"/>
      <c r="AR1296" s="20"/>
      <c r="AS1296" s="20"/>
      <c r="AT1296" s="20"/>
    </row>
    <row r="1297" spans="1:46" s="8" customFormat="1" ht="13.8" thickBot="1" x14ac:dyDescent="0.3">
      <c r="A1297" s="122"/>
      <c r="B1297" s="122"/>
      <c r="C1297" s="307"/>
      <c r="D1297" s="85"/>
      <c r="E1297" s="85"/>
      <c r="F1297" s="85"/>
      <c r="G1297" s="141" t="s">
        <v>1156</v>
      </c>
      <c r="H1297" s="85"/>
      <c r="I1297" s="85"/>
      <c r="J1297" s="44" t="s">
        <v>5</v>
      </c>
      <c r="K1297" s="45">
        <f>K1296+K1295</f>
        <v>4458950</v>
      </c>
      <c r="L1297" s="46"/>
      <c r="M1297" s="46"/>
      <c r="N1297" s="46"/>
      <c r="O1297" s="46"/>
      <c r="P1297" s="46"/>
      <c r="Q1297" s="46"/>
      <c r="R1297" s="46"/>
      <c r="S1297" s="46"/>
      <c r="T1297" s="46" t="e">
        <f t="shared" ref="T1297:V1297" si="1045">T1296+T1295</f>
        <v>#REF!</v>
      </c>
      <c r="U1297" s="46"/>
      <c r="V1297" s="46">
        <f t="shared" si="1045"/>
        <v>467050</v>
      </c>
      <c r="W1297" s="46">
        <f t="shared" ref="W1297:AE1297" si="1046">W1296+W1295</f>
        <v>445300</v>
      </c>
      <c r="X1297" s="46">
        <f t="shared" si="1046"/>
        <v>423800</v>
      </c>
      <c r="Y1297" s="46">
        <f t="shared" si="1046"/>
        <v>397550</v>
      </c>
      <c r="Z1297" s="503">
        <f t="shared" si="1046"/>
        <v>381800</v>
      </c>
      <c r="AA1297" s="542">
        <f t="shared" si="1046"/>
        <v>256050</v>
      </c>
      <c r="AB1297" s="46">
        <f t="shared" si="1046"/>
        <v>245800</v>
      </c>
      <c r="AC1297" s="46">
        <f t="shared" si="1046"/>
        <v>226700</v>
      </c>
      <c r="AD1297" s="46">
        <f t="shared" si="1046"/>
        <v>219100</v>
      </c>
      <c r="AE1297" s="46">
        <f t="shared" si="1046"/>
        <v>195300</v>
      </c>
      <c r="AF1297" s="46">
        <f t="shared" ref="AF1297:AO1297" si="1047">AF1296+AF1295</f>
        <v>161900</v>
      </c>
      <c r="AG1297" s="46">
        <f t="shared" si="1047"/>
        <v>159100</v>
      </c>
      <c r="AH1297" s="46">
        <f t="shared" si="1047"/>
        <v>156300</v>
      </c>
      <c r="AI1297" s="46">
        <f t="shared" si="1047"/>
        <v>153500</v>
      </c>
      <c r="AJ1297" s="46">
        <f t="shared" si="1047"/>
        <v>145700</v>
      </c>
      <c r="AK1297" s="46">
        <f t="shared" si="1047"/>
        <v>88000</v>
      </c>
      <c r="AL1297" s="46">
        <f t="shared" si="1047"/>
        <v>86400</v>
      </c>
      <c r="AM1297" s="46">
        <f t="shared" si="1047"/>
        <v>84800</v>
      </c>
      <c r="AN1297" s="46">
        <f t="shared" si="1047"/>
        <v>83200</v>
      </c>
      <c r="AO1297" s="46">
        <f t="shared" si="1047"/>
        <v>81600</v>
      </c>
      <c r="AP1297" s="47" t="s">
        <v>11</v>
      </c>
      <c r="AQ1297" s="47"/>
      <c r="AR1297" s="47"/>
      <c r="AS1297" s="47"/>
      <c r="AT1297" s="47"/>
    </row>
    <row r="1298" spans="1:46" s="417" customFormat="1" x14ac:dyDescent="0.25">
      <c r="A1298" s="26" t="s">
        <v>4</v>
      </c>
      <c r="B1298" s="26" t="s">
        <v>97</v>
      </c>
      <c r="C1298" s="306"/>
      <c r="D1298" s="55" t="s">
        <v>4</v>
      </c>
      <c r="E1298" s="25">
        <v>44301</v>
      </c>
      <c r="F1298" s="25" t="s">
        <v>267</v>
      </c>
      <c r="G1298" s="316" t="s">
        <v>794</v>
      </c>
      <c r="H1298" s="427">
        <v>61312274</v>
      </c>
      <c r="I1298" s="427">
        <v>586100</v>
      </c>
      <c r="J1298" s="2" t="s">
        <v>1</v>
      </c>
      <c r="K1298" s="27">
        <v>755000</v>
      </c>
      <c r="L1298" s="4"/>
      <c r="M1298" s="4"/>
      <c r="N1298" s="4"/>
      <c r="O1298" s="4"/>
      <c r="P1298" s="4"/>
      <c r="Q1298" s="4"/>
      <c r="R1298" s="426"/>
      <c r="S1298" s="426"/>
      <c r="T1298" s="426"/>
      <c r="U1298" s="421"/>
      <c r="V1298" s="420">
        <v>40000</v>
      </c>
      <c r="W1298" s="420">
        <v>40000</v>
      </c>
      <c r="X1298" s="420">
        <v>40000</v>
      </c>
      <c r="Y1298" s="420">
        <v>40000</v>
      </c>
      <c r="Z1298" s="509">
        <v>40000</v>
      </c>
      <c r="AA1298" s="552">
        <v>40000</v>
      </c>
      <c r="AB1298" s="420">
        <v>40000</v>
      </c>
      <c r="AC1298" s="420">
        <v>40000</v>
      </c>
      <c r="AD1298" s="420">
        <v>40000</v>
      </c>
      <c r="AE1298" s="420">
        <v>40000</v>
      </c>
      <c r="AF1298" s="420">
        <v>40000</v>
      </c>
      <c r="AG1298" s="420">
        <v>35000</v>
      </c>
      <c r="AH1298" s="420">
        <v>35000</v>
      </c>
      <c r="AI1298" s="420">
        <v>35000</v>
      </c>
      <c r="AJ1298" s="420">
        <v>35000</v>
      </c>
      <c r="AK1298" s="420">
        <v>35000</v>
      </c>
      <c r="AL1298" s="420">
        <v>35000</v>
      </c>
      <c r="AM1298" s="420">
        <v>35000</v>
      </c>
      <c r="AN1298" s="420">
        <v>35000</v>
      </c>
      <c r="AO1298" s="420">
        <v>35000</v>
      </c>
      <c r="AP1298" s="2" t="s">
        <v>11</v>
      </c>
      <c r="AQ1298" s="424"/>
      <c r="AR1298" s="424"/>
      <c r="AS1298" s="2"/>
      <c r="AT1298" s="2"/>
    </row>
    <row r="1299" spans="1:46" s="417" customFormat="1" x14ac:dyDescent="0.25">
      <c r="A1299" s="400" t="s">
        <v>1242</v>
      </c>
      <c r="B1299" s="26"/>
      <c r="C1299" s="306"/>
      <c r="D1299" s="55"/>
      <c r="E1299" s="317" t="s">
        <v>13</v>
      </c>
      <c r="F1299" s="25"/>
      <c r="G1299" s="402" t="s">
        <v>1129</v>
      </c>
      <c r="H1299" s="402" t="s">
        <v>1108</v>
      </c>
      <c r="I1299" s="12"/>
      <c r="J1299" s="17" t="s">
        <v>2</v>
      </c>
      <c r="K1299" s="423">
        <v>185200</v>
      </c>
      <c r="L1299" s="11"/>
      <c r="M1299" s="11"/>
      <c r="N1299" s="11"/>
      <c r="O1299" s="11"/>
      <c r="P1299" s="4"/>
      <c r="Q1299" s="4"/>
      <c r="R1299" s="426"/>
      <c r="S1299" s="426"/>
      <c r="T1299" s="426"/>
      <c r="U1299" s="421"/>
      <c r="V1299" s="420">
        <f>11550+11550</f>
        <v>23100</v>
      </c>
      <c r="W1299" s="420">
        <f>10550+10550</f>
        <v>21100</v>
      </c>
      <c r="X1299" s="420">
        <f>9550+9550</f>
        <v>19100</v>
      </c>
      <c r="Y1299" s="420">
        <f>8550+8550</f>
        <v>17100</v>
      </c>
      <c r="Z1299" s="509">
        <f>7550+7550</f>
        <v>15100</v>
      </c>
      <c r="AA1299" s="552">
        <f>6550+6550</f>
        <v>13100</v>
      </c>
      <c r="AB1299" s="420">
        <f>5550+5550</f>
        <v>11100</v>
      </c>
      <c r="AC1299" s="420">
        <f>5150+5150</f>
        <v>10300</v>
      </c>
      <c r="AD1299" s="420">
        <f>4350+4350</f>
        <v>8700</v>
      </c>
      <c r="AE1299" s="420">
        <f>3950+3950</f>
        <v>7900</v>
      </c>
      <c r="AF1299" s="420">
        <f>3550+3550</f>
        <v>7100</v>
      </c>
      <c r="AG1299" s="420">
        <f>3150+3150</f>
        <v>6300</v>
      </c>
      <c r="AH1299" s="420">
        <f>2800+2800</f>
        <v>5600</v>
      </c>
      <c r="AI1299" s="420">
        <f>2450+2450</f>
        <v>4900</v>
      </c>
      <c r="AJ1299" s="420">
        <f>2100+2100</f>
        <v>4200</v>
      </c>
      <c r="AK1299" s="420">
        <f>1750+1750</f>
        <v>3500</v>
      </c>
      <c r="AL1299" s="420">
        <f>1400+1400</f>
        <v>2800</v>
      </c>
      <c r="AM1299" s="420">
        <f>1050+1050</f>
        <v>2100</v>
      </c>
      <c r="AN1299" s="420">
        <f>700+700</f>
        <v>1400</v>
      </c>
      <c r="AO1299" s="420">
        <f>350+350</f>
        <v>700</v>
      </c>
      <c r="AP1299" s="17" t="s">
        <v>11</v>
      </c>
      <c r="AQ1299" s="418"/>
      <c r="AR1299" s="418"/>
      <c r="AS1299" s="17"/>
      <c r="AT1299" s="17"/>
    </row>
    <row r="1300" spans="1:46" s="410" customFormat="1" ht="13.8" thickBot="1" x14ac:dyDescent="0.3">
      <c r="A1300" s="409" t="s">
        <v>1130</v>
      </c>
      <c r="B1300" s="120"/>
      <c r="C1300" s="307"/>
      <c r="D1300" s="91"/>
      <c r="E1300" s="90" t="s">
        <v>16</v>
      </c>
      <c r="F1300" s="398" t="s">
        <v>407</v>
      </c>
      <c r="G1300" s="355" t="s">
        <v>1131</v>
      </c>
      <c r="H1300" s="144"/>
      <c r="I1300" s="124"/>
      <c r="J1300" s="410" t="s">
        <v>5</v>
      </c>
      <c r="K1300" s="415">
        <f>K1299+K1298</f>
        <v>940200</v>
      </c>
      <c r="L1300" s="43"/>
      <c r="M1300" s="43"/>
      <c r="N1300" s="43"/>
      <c r="O1300" s="43"/>
      <c r="P1300" s="43">
        <f>P1299+P1298</f>
        <v>0</v>
      </c>
      <c r="Q1300" s="43"/>
      <c r="R1300" s="43">
        <f>R1299+R1298</f>
        <v>0</v>
      </c>
      <c r="S1300" s="43">
        <f>S1299+S1298</f>
        <v>0</v>
      </c>
      <c r="T1300" s="43"/>
      <c r="U1300" s="43"/>
      <c r="V1300" s="412">
        <f t="shared" ref="V1300:AO1300" si="1048">V1299+V1298</f>
        <v>63100</v>
      </c>
      <c r="W1300" s="412">
        <f t="shared" si="1048"/>
        <v>61100</v>
      </c>
      <c r="X1300" s="412">
        <f t="shared" si="1048"/>
        <v>59100</v>
      </c>
      <c r="Y1300" s="412">
        <f t="shared" si="1048"/>
        <v>57100</v>
      </c>
      <c r="Z1300" s="510">
        <f t="shared" si="1048"/>
        <v>55100</v>
      </c>
      <c r="AA1300" s="553">
        <f t="shared" si="1048"/>
        <v>53100</v>
      </c>
      <c r="AB1300" s="412">
        <f t="shared" si="1048"/>
        <v>51100</v>
      </c>
      <c r="AC1300" s="412">
        <f t="shared" si="1048"/>
        <v>50300</v>
      </c>
      <c r="AD1300" s="412">
        <f t="shared" si="1048"/>
        <v>48700</v>
      </c>
      <c r="AE1300" s="412">
        <f t="shared" si="1048"/>
        <v>47900</v>
      </c>
      <c r="AF1300" s="412">
        <f t="shared" si="1048"/>
        <v>47100</v>
      </c>
      <c r="AG1300" s="412">
        <f t="shared" si="1048"/>
        <v>41300</v>
      </c>
      <c r="AH1300" s="412">
        <f t="shared" si="1048"/>
        <v>40600</v>
      </c>
      <c r="AI1300" s="412">
        <f t="shared" si="1048"/>
        <v>39900</v>
      </c>
      <c r="AJ1300" s="412">
        <f t="shared" si="1048"/>
        <v>39200</v>
      </c>
      <c r="AK1300" s="412">
        <f t="shared" si="1048"/>
        <v>38500</v>
      </c>
      <c r="AL1300" s="412">
        <f t="shared" si="1048"/>
        <v>37800</v>
      </c>
      <c r="AM1300" s="412">
        <f t="shared" si="1048"/>
        <v>37100</v>
      </c>
      <c r="AN1300" s="412">
        <f t="shared" si="1048"/>
        <v>36400</v>
      </c>
      <c r="AO1300" s="412">
        <f t="shared" si="1048"/>
        <v>35700</v>
      </c>
      <c r="AP1300" s="41" t="s">
        <v>11</v>
      </c>
      <c r="AQ1300" s="411"/>
      <c r="AR1300" s="411"/>
      <c r="AS1300" s="41"/>
      <c r="AT1300" s="41"/>
    </row>
    <row r="1301" spans="1:46" s="417" customFormat="1" x14ac:dyDescent="0.25">
      <c r="A1301" s="26" t="s">
        <v>4</v>
      </c>
      <c r="B1301" s="26" t="s">
        <v>97</v>
      </c>
      <c r="C1301" s="306"/>
      <c r="D1301" s="55" t="s">
        <v>4</v>
      </c>
      <c r="E1301" s="25">
        <v>44301</v>
      </c>
      <c r="F1301" s="25" t="s">
        <v>267</v>
      </c>
      <c r="G1301" s="316" t="s">
        <v>1148</v>
      </c>
      <c r="H1301" s="427">
        <v>61310287</v>
      </c>
      <c r="I1301" s="316">
        <v>584024</v>
      </c>
      <c r="J1301" s="2" t="s">
        <v>1</v>
      </c>
      <c r="K1301" s="27">
        <v>380000</v>
      </c>
      <c r="L1301" s="4"/>
      <c r="M1301" s="4"/>
      <c r="N1301" s="4"/>
      <c r="O1301" s="4"/>
      <c r="P1301" s="4"/>
      <c r="Q1301" s="4"/>
      <c r="R1301" s="426"/>
      <c r="S1301" s="426"/>
      <c r="T1301" s="426"/>
      <c r="U1301" s="421"/>
      <c r="V1301" s="420">
        <v>40000</v>
      </c>
      <c r="W1301" s="420">
        <v>40000</v>
      </c>
      <c r="X1301" s="420">
        <v>40000</v>
      </c>
      <c r="Y1301" s="420">
        <v>40000</v>
      </c>
      <c r="Z1301" s="509">
        <v>40000</v>
      </c>
      <c r="AA1301" s="552">
        <v>40000</v>
      </c>
      <c r="AB1301" s="420">
        <v>35000</v>
      </c>
      <c r="AC1301" s="420">
        <v>35000</v>
      </c>
      <c r="AD1301" s="420">
        <v>35000</v>
      </c>
      <c r="AE1301" s="420">
        <v>35000</v>
      </c>
      <c r="AF1301" s="2" t="s">
        <v>11</v>
      </c>
      <c r="AG1301" s="430"/>
      <c r="AH1301" s="430"/>
      <c r="AI1301" s="430"/>
      <c r="AJ1301" s="430"/>
      <c r="AK1301" s="430"/>
      <c r="AL1301" s="430"/>
      <c r="AM1301" s="430"/>
      <c r="AN1301" s="430"/>
      <c r="AO1301" s="430"/>
      <c r="AP1301" s="424"/>
      <c r="AQ1301" s="424"/>
      <c r="AR1301" s="424"/>
      <c r="AS1301" s="2"/>
      <c r="AT1301" s="2"/>
    </row>
    <row r="1302" spans="1:46" s="417" customFormat="1" x14ac:dyDescent="0.25">
      <c r="A1302" s="400" t="s">
        <v>1244</v>
      </c>
      <c r="B1302" s="26"/>
      <c r="C1302" s="306"/>
      <c r="D1302" s="55"/>
      <c r="E1302" s="317" t="s">
        <v>13</v>
      </c>
      <c r="F1302" s="25"/>
      <c r="G1302" s="12" t="s">
        <v>1147</v>
      </c>
      <c r="H1302" s="402" t="s">
        <v>1105</v>
      </c>
      <c r="I1302" s="12"/>
      <c r="J1302" s="17" t="s">
        <v>2</v>
      </c>
      <c r="K1302" s="423">
        <v>71400</v>
      </c>
      <c r="L1302" s="11"/>
      <c r="M1302" s="11"/>
      <c r="N1302" s="11"/>
      <c r="O1302" s="11"/>
      <c r="P1302" s="4"/>
      <c r="Q1302" s="4"/>
      <c r="R1302" s="426"/>
      <c r="S1302" s="426"/>
      <c r="T1302" s="426"/>
      <c r="U1302" s="421"/>
      <c r="V1302" s="420">
        <f>7750+7750</f>
        <v>15500</v>
      </c>
      <c r="W1302" s="420">
        <f>6750+6750</f>
        <v>13500</v>
      </c>
      <c r="X1302" s="420">
        <f>5750+5750</f>
        <v>11500</v>
      </c>
      <c r="Y1302" s="420">
        <f>4750+4750</f>
        <v>9500</v>
      </c>
      <c r="Z1302" s="509">
        <f>3750+3750</f>
        <v>7500</v>
      </c>
      <c r="AA1302" s="552">
        <f>2750+2750</f>
        <v>5500</v>
      </c>
      <c r="AB1302" s="420">
        <f>1750+1750</f>
        <v>3500</v>
      </c>
      <c r="AC1302" s="420">
        <f>1400+1400</f>
        <v>2800</v>
      </c>
      <c r="AD1302" s="420">
        <f>700+700</f>
        <v>1400</v>
      </c>
      <c r="AE1302" s="420">
        <f>350+350</f>
        <v>700</v>
      </c>
      <c r="AF1302" s="17" t="s">
        <v>11</v>
      </c>
      <c r="AG1302" s="430"/>
      <c r="AH1302" s="430"/>
      <c r="AI1302" s="430"/>
      <c r="AJ1302" s="430"/>
      <c r="AK1302" s="430"/>
      <c r="AL1302" s="430"/>
      <c r="AM1302" s="430"/>
      <c r="AN1302" s="430"/>
      <c r="AO1302" s="430"/>
      <c r="AP1302" s="418"/>
      <c r="AQ1302" s="418"/>
      <c r="AR1302" s="418"/>
      <c r="AS1302" s="17"/>
      <c r="AT1302" s="17"/>
    </row>
    <row r="1303" spans="1:46" s="410" customFormat="1" ht="13.8" thickBot="1" x14ac:dyDescent="0.3">
      <c r="A1303" s="409" t="s">
        <v>1130</v>
      </c>
      <c r="B1303" s="120"/>
      <c r="C1303" s="307"/>
      <c r="D1303" s="91"/>
      <c r="E1303" s="90" t="s">
        <v>16</v>
      </c>
      <c r="F1303" s="398" t="s">
        <v>407</v>
      </c>
      <c r="G1303" s="355" t="s">
        <v>1131</v>
      </c>
      <c r="H1303" s="144"/>
      <c r="I1303" s="124"/>
      <c r="J1303" s="410" t="s">
        <v>5</v>
      </c>
      <c r="K1303" s="415">
        <f>K1302+K1301</f>
        <v>451400</v>
      </c>
      <c r="L1303" s="43"/>
      <c r="M1303" s="43"/>
      <c r="N1303" s="43"/>
      <c r="O1303" s="43"/>
      <c r="P1303" s="43">
        <f>P1302+P1301</f>
        <v>0</v>
      </c>
      <c r="Q1303" s="43"/>
      <c r="R1303" s="43">
        <f>R1302+R1301</f>
        <v>0</v>
      </c>
      <c r="S1303" s="43">
        <f>S1302+S1301</f>
        <v>0</v>
      </c>
      <c r="T1303" s="43"/>
      <c r="U1303" s="43"/>
      <c r="V1303" s="412">
        <f t="shared" ref="V1303:AE1303" si="1049">V1302+V1301</f>
        <v>55500</v>
      </c>
      <c r="W1303" s="412">
        <f t="shared" si="1049"/>
        <v>53500</v>
      </c>
      <c r="X1303" s="412">
        <f t="shared" si="1049"/>
        <v>51500</v>
      </c>
      <c r="Y1303" s="412">
        <f t="shared" si="1049"/>
        <v>49500</v>
      </c>
      <c r="Z1303" s="510">
        <f t="shared" si="1049"/>
        <v>47500</v>
      </c>
      <c r="AA1303" s="553">
        <f t="shared" si="1049"/>
        <v>45500</v>
      </c>
      <c r="AB1303" s="412">
        <f t="shared" si="1049"/>
        <v>38500</v>
      </c>
      <c r="AC1303" s="412">
        <f t="shared" si="1049"/>
        <v>37800</v>
      </c>
      <c r="AD1303" s="412">
        <f t="shared" si="1049"/>
        <v>36400</v>
      </c>
      <c r="AE1303" s="412">
        <f t="shared" si="1049"/>
        <v>35700</v>
      </c>
      <c r="AF1303" s="41" t="s">
        <v>11</v>
      </c>
      <c r="AG1303" s="412"/>
      <c r="AH1303" s="412"/>
      <c r="AI1303" s="412"/>
      <c r="AJ1303" s="412"/>
      <c r="AK1303" s="412"/>
      <c r="AL1303" s="412"/>
      <c r="AM1303" s="412"/>
      <c r="AN1303" s="412"/>
      <c r="AO1303" s="412"/>
      <c r="AP1303" s="411"/>
      <c r="AQ1303" s="411"/>
      <c r="AR1303" s="411"/>
      <c r="AS1303" s="41"/>
      <c r="AT1303" s="41"/>
    </row>
    <row r="1304" spans="1:46" s="417" customFormat="1" x14ac:dyDescent="0.25">
      <c r="A1304" s="26" t="s">
        <v>4</v>
      </c>
      <c r="B1304" s="26" t="s">
        <v>97</v>
      </c>
      <c r="C1304" s="306"/>
      <c r="D1304" s="55" t="s">
        <v>4</v>
      </c>
      <c r="E1304" s="25">
        <v>44301</v>
      </c>
      <c r="F1304" s="25" t="s">
        <v>267</v>
      </c>
      <c r="G1304" s="316" t="s">
        <v>794</v>
      </c>
      <c r="H1304" s="427">
        <v>61310287</v>
      </c>
      <c r="I1304" s="316">
        <v>586100</v>
      </c>
      <c r="J1304" s="2" t="s">
        <v>1</v>
      </c>
      <c r="K1304" s="27">
        <v>710000</v>
      </c>
      <c r="L1304" s="4"/>
      <c r="M1304" s="4"/>
      <c r="N1304" s="4"/>
      <c r="O1304" s="4"/>
      <c r="P1304" s="4"/>
      <c r="Q1304" s="4"/>
      <c r="R1304" s="426"/>
      <c r="S1304" s="426"/>
      <c r="T1304" s="426"/>
      <c r="U1304" s="421"/>
      <c r="V1304" s="420">
        <v>40000</v>
      </c>
      <c r="W1304" s="420">
        <v>40000</v>
      </c>
      <c r="X1304" s="420">
        <v>35000</v>
      </c>
      <c r="Y1304" s="420">
        <v>35000</v>
      </c>
      <c r="Z1304" s="509">
        <v>35000</v>
      </c>
      <c r="AA1304" s="552">
        <v>35000</v>
      </c>
      <c r="AB1304" s="420">
        <v>35000</v>
      </c>
      <c r="AC1304" s="420">
        <v>35000</v>
      </c>
      <c r="AD1304" s="420">
        <v>35000</v>
      </c>
      <c r="AE1304" s="420">
        <v>35000</v>
      </c>
      <c r="AF1304" s="420">
        <v>35000</v>
      </c>
      <c r="AG1304" s="420">
        <v>35000</v>
      </c>
      <c r="AH1304" s="420">
        <v>35000</v>
      </c>
      <c r="AI1304" s="420">
        <v>35000</v>
      </c>
      <c r="AJ1304" s="420">
        <v>35000</v>
      </c>
      <c r="AK1304" s="420">
        <v>35000</v>
      </c>
      <c r="AL1304" s="420">
        <v>35000</v>
      </c>
      <c r="AM1304" s="420">
        <v>35000</v>
      </c>
      <c r="AN1304" s="420">
        <v>35000</v>
      </c>
      <c r="AO1304" s="420">
        <v>35000</v>
      </c>
      <c r="AP1304" s="2" t="s">
        <v>11</v>
      </c>
      <c r="AQ1304" s="424"/>
      <c r="AR1304" s="424"/>
      <c r="AS1304" s="2"/>
      <c r="AT1304" s="2"/>
    </row>
    <row r="1305" spans="1:46" s="417" customFormat="1" x14ac:dyDescent="0.25">
      <c r="A1305" s="400" t="s">
        <v>1243</v>
      </c>
      <c r="B1305" s="26"/>
      <c r="C1305" s="306"/>
      <c r="D1305" s="55"/>
      <c r="E1305" s="317" t="s">
        <v>13</v>
      </c>
      <c r="F1305" s="25"/>
      <c r="G1305" s="12" t="s">
        <v>1149</v>
      </c>
      <c r="H1305" s="402" t="s">
        <v>1108</v>
      </c>
      <c r="I1305" s="12"/>
      <c r="J1305" s="17" t="s">
        <v>2</v>
      </c>
      <c r="K1305" s="423">
        <v>175400</v>
      </c>
      <c r="L1305" s="11"/>
      <c r="M1305" s="11"/>
      <c r="N1305" s="11"/>
      <c r="O1305" s="11"/>
      <c r="P1305" s="4"/>
      <c r="Q1305" s="4"/>
      <c r="R1305" s="426"/>
      <c r="S1305" s="426"/>
      <c r="T1305" s="426"/>
      <c r="U1305" s="421"/>
      <c r="V1305" s="420">
        <f>10750+10750</f>
        <v>21500</v>
      </c>
      <c r="W1305" s="420">
        <f>9750+9750</f>
        <v>19500</v>
      </c>
      <c r="X1305" s="420">
        <f>8750+8750</f>
        <v>17500</v>
      </c>
      <c r="Y1305" s="420">
        <f>7875+7875</f>
        <v>15750</v>
      </c>
      <c r="Z1305" s="509">
        <f>7000+7000</f>
        <v>14000</v>
      </c>
      <c r="AA1305" s="552">
        <f>6125+6125</f>
        <v>12250</v>
      </c>
      <c r="AB1305" s="420">
        <f>5250+5250</f>
        <v>10500</v>
      </c>
      <c r="AC1305" s="420">
        <f>4900+4900</f>
        <v>9800</v>
      </c>
      <c r="AD1305" s="420">
        <f>4200+4200</f>
        <v>8400</v>
      </c>
      <c r="AE1305" s="420">
        <f>3850+3850</f>
        <v>7700</v>
      </c>
      <c r="AF1305" s="420">
        <f>3500+3500</f>
        <v>7000</v>
      </c>
      <c r="AG1305" s="420">
        <f>3150+3150</f>
        <v>6300</v>
      </c>
      <c r="AH1305" s="420">
        <f>2800+2800</f>
        <v>5600</v>
      </c>
      <c r="AI1305" s="420">
        <f>2450+2450</f>
        <v>4900</v>
      </c>
      <c r="AJ1305" s="420">
        <f>2100+2100</f>
        <v>4200</v>
      </c>
      <c r="AK1305" s="420">
        <f>1750+1750</f>
        <v>3500</v>
      </c>
      <c r="AL1305" s="420">
        <f>1400+1400</f>
        <v>2800</v>
      </c>
      <c r="AM1305" s="420">
        <f>1050+1050</f>
        <v>2100</v>
      </c>
      <c r="AN1305" s="420">
        <f>700+700</f>
        <v>1400</v>
      </c>
      <c r="AO1305" s="420">
        <f>350+350</f>
        <v>700</v>
      </c>
      <c r="AP1305" s="17" t="s">
        <v>11</v>
      </c>
      <c r="AQ1305" s="418"/>
      <c r="AR1305" s="418"/>
      <c r="AS1305" s="17"/>
      <c r="AT1305" s="17"/>
    </row>
    <row r="1306" spans="1:46" s="410" customFormat="1" ht="13.8" thickBot="1" x14ac:dyDescent="0.3">
      <c r="A1306" s="409" t="s">
        <v>1130</v>
      </c>
      <c r="B1306" s="120"/>
      <c r="C1306" s="307"/>
      <c r="D1306" s="91"/>
      <c r="E1306" s="90" t="s">
        <v>16</v>
      </c>
      <c r="F1306" s="398" t="s">
        <v>407</v>
      </c>
      <c r="G1306" s="355" t="s">
        <v>1150</v>
      </c>
      <c r="H1306" s="144"/>
      <c r="I1306" s="124"/>
      <c r="J1306" s="410" t="s">
        <v>5</v>
      </c>
      <c r="K1306" s="415">
        <f>K1305+K1304</f>
        <v>885400</v>
      </c>
      <c r="L1306" s="43"/>
      <c r="M1306" s="43"/>
      <c r="N1306" s="43"/>
      <c r="O1306" s="43"/>
      <c r="P1306" s="43">
        <f>P1305+P1304</f>
        <v>0</v>
      </c>
      <c r="Q1306" s="43"/>
      <c r="R1306" s="43">
        <f>R1305+R1304</f>
        <v>0</v>
      </c>
      <c r="S1306" s="43">
        <f>S1305+S1304</f>
        <v>0</v>
      </c>
      <c r="T1306" s="43"/>
      <c r="U1306" s="43"/>
      <c r="V1306" s="412">
        <f t="shared" ref="V1306:AO1306" si="1050">V1305+V1304</f>
        <v>61500</v>
      </c>
      <c r="W1306" s="412">
        <f t="shared" si="1050"/>
        <v>59500</v>
      </c>
      <c r="X1306" s="412">
        <f t="shared" si="1050"/>
        <v>52500</v>
      </c>
      <c r="Y1306" s="412">
        <f t="shared" si="1050"/>
        <v>50750</v>
      </c>
      <c r="Z1306" s="510">
        <f t="shared" si="1050"/>
        <v>49000</v>
      </c>
      <c r="AA1306" s="553">
        <f t="shared" si="1050"/>
        <v>47250</v>
      </c>
      <c r="AB1306" s="412">
        <f t="shared" si="1050"/>
        <v>45500</v>
      </c>
      <c r="AC1306" s="412">
        <f t="shared" si="1050"/>
        <v>44800</v>
      </c>
      <c r="AD1306" s="412">
        <f t="shared" si="1050"/>
        <v>43400</v>
      </c>
      <c r="AE1306" s="412">
        <f t="shared" si="1050"/>
        <v>42700</v>
      </c>
      <c r="AF1306" s="412">
        <f t="shared" si="1050"/>
        <v>42000</v>
      </c>
      <c r="AG1306" s="412">
        <f t="shared" si="1050"/>
        <v>41300</v>
      </c>
      <c r="AH1306" s="412">
        <f t="shared" si="1050"/>
        <v>40600</v>
      </c>
      <c r="AI1306" s="412">
        <f t="shared" si="1050"/>
        <v>39900</v>
      </c>
      <c r="AJ1306" s="412">
        <f t="shared" si="1050"/>
        <v>39200</v>
      </c>
      <c r="AK1306" s="412">
        <f t="shared" si="1050"/>
        <v>38500</v>
      </c>
      <c r="AL1306" s="412">
        <f t="shared" si="1050"/>
        <v>37800</v>
      </c>
      <c r="AM1306" s="412">
        <f t="shared" si="1050"/>
        <v>37100</v>
      </c>
      <c r="AN1306" s="412">
        <f t="shared" si="1050"/>
        <v>36400</v>
      </c>
      <c r="AO1306" s="412">
        <f t="shared" si="1050"/>
        <v>35700</v>
      </c>
      <c r="AP1306" s="41" t="s">
        <v>11</v>
      </c>
      <c r="AQ1306" s="411"/>
      <c r="AR1306" s="411"/>
      <c r="AS1306" s="41"/>
      <c r="AT1306" s="41"/>
    </row>
    <row r="1307" spans="1:46" s="8" customFormat="1" x14ac:dyDescent="0.25">
      <c r="A1307" s="121"/>
      <c r="B1307" s="121"/>
      <c r="C1307" s="306"/>
      <c r="D1307" s="55"/>
      <c r="E1307" s="55"/>
      <c r="F1307" s="55"/>
      <c r="G1307" s="9" t="s">
        <v>7</v>
      </c>
      <c r="H1307" s="9">
        <v>61774519</v>
      </c>
      <c r="I1307" s="9">
        <v>591100</v>
      </c>
      <c r="J1307" s="10" t="s">
        <v>1</v>
      </c>
      <c r="K1307" s="31">
        <f>K1298+K1301+K1304</f>
        <v>1845000</v>
      </c>
      <c r="L1307" s="7"/>
      <c r="M1307" s="7"/>
      <c r="N1307" s="7"/>
      <c r="O1307" s="7"/>
      <c r="P1307" s="7"/>
      <c r="Q1307" s="7"/>
      <c r="R1307" s="7"/>
      <c r="S1307" s="7"/>
      <c r="T1307" s="7" t="e">
        <f>#REF!</f>
        <v>#REF!</v>
      </c>
      <c r="U1307" s="7"/>
      <c r="V1307" s="7">
        <f>V1304+V1301+V1298</f>
        <v>120000</v>
      </c>
      <c r="W1307" s="7">
        <f>W1304+W1301+W1298</f>
        <v>120000</v>
      </c>
      <c r="X1307" s="7">
        <f t="shared" ref="X1307:AE1307" si="1051">X1304+X1301+X1298</f>
        <v>115000</v>
      </c>
      <c r="Y1307" s="7">
        <f t="shared" si="1051"/>
        <v>115000</v>
      </c>
      <c r="Z1307" s="501">
        <f t="shared" si="1051"/>
        <v>115000</v>
      </c>
      <c r="AA1307" s="540">
        <f t="shared" si="1051"/>
        <v>115000</v>
      </c>
      <c r="AB1307" s="7">
        <f t="shared" si="1051"/>
        <v>110000</v>
      </c>
      <c r="AC1307" s="7">
        <f t="shared" si="1051"/>
        <v>110000</v>
      </c>
      <c r="AD1307" s="7">
        <f t="shared" si="1051"/>
        <v>110000</v>
      </c>
      <c r="AE1307" s="7">
        <f t="shared" si="1051"/>
        <v>110000</v>
      </c>
      <c r="AF1307" s="7">
        <f>AF1304+AF1298</f>
        <v>75000</v>
      </c>
      <c r="AG1307" s="7">
        <f t="shared" ref="AG1307:AO1307" si="1052">AG1304+AG1298</f>
        <v>70000</v>
      </c>
      <c r="AH1307" s="7">
        <f t="shared" si="1052"/>
        <v>70000</v>
      </c>
      <c r="AI1307" s="7">
        <f t="shared" si="1052"/>
        <v>70000</v>
      </c>
      <c r="AJ1307" s="7">
        <f t="shared" si="1052"/>
        <v>70000</v>
      </c>
      <c r="AK1307" s="7">
        <f t="shared" si="1052"/>
        <v>70000</v>
      </c>
      <c r="AL1307" s="7">
        <f t="shared" si="1052"/>
        <v>70000</v>
      </c>
      <c r="AM1307" s="7">
        <f t="shared" si="1052"/>
        <v>70000</v>
      </c>
      <c r="AN1307" s="7">
        <f t="shared" si="1052"/>
        <v>70000</v>
      </c>
      <c r="AO1307" s="7">
        <f t="shared" si="1052"/>
        <v>70000</v>
      </c>
      <c r="AP1307" s="3" t="s">
        <v>11</v>
      </c>
      <c r="AQ1307" s="3"/>
      <c r="AR1307" s="3"/>
      <c r="AS1307" s="3"/>
      <c r="AT1307" s="3"/>
    </row>
    <row r="1308" spans="1:46" s="8" customFormat="1" x14ac:dyDescent="0.25">
      <c r="A1308" s="121"/>
      <c r="B1308" s="121"/>
      <c r="C1308" s="306"/>
      <c r="D1308" s="10"/>
      <c r="E1308" s="10"/>
      <c r="F1308" s="10"/>
      <c r="G1308" s="10"/>
      <c r="H1308" s="9">
        <v>61774519</v>
      </c>
      <c r="I1308" s="10">
        <v>595100</v>
      </c>
      <c r="J1308" s="19" t="s">
        <v>2</v>
      </c>
      <c r="K1308" s="31">
        <f>K1299+K1302+K1305</f>
        <v>432000</v>
      </c>
      <c r="L1308" s="16"/>
      <c r="M1308" s="16"/>
      <c r="N1308" s="16"/>
      <c r="O1308" s="16"/>
      <c r="P1308" s="16"/>
      <c r="Q1308" s="16"/>
      <c r="R1308" s="16"/>
      <c r="S1308" s="16"/>
      <c r="T1308" s="16" t="e">
        <f>#REF!</f>
        <v>#REF!</v>
      </c>
      <c r="U1308" s="16"/>
      <c r="V1308" s="16">
        <f>V1305+V1302+V1299</f>
        <v>60100</v>
      </c>
      <c r="W1308" s="16">
        <f>W1305+W1302+W1299</f>
        <v>54100</v>
      </c>
      <c r="X1308" s="16">
        <f t="shared" ref="X1308:AE1308" si="1053">X1305+X1302+X1299</f>
        <v>48100</v>
      </c>
      <c r="Y1308" s="16">
        <f t="shared" si="1053"/>
        <v>42350</v>
      </c>
      <c r="Z1308" s="502">
        <f t="shared" si="1053"/>
        <v>36600</v>
      </c>
      <c r="AA1308" s="541">
        <f t="shared" si="1053"/>
        <v>30850</v>
      </c>
      <c r="AB1308" s="16">
        <f t="shared" si="1053"/>
        <v>25100</v>
      </c>
      <c r="AC1308" s="16">
        <f t="shared" si="1053"/>
        <v>22900</v>
      </c>
      <c r="AD1308" s="16">
        <f t="shared" si="1053"/>
        <v>18500</v>
      </c>
      <c r="AE1308" s="16">
        <f t="shared" si="1053"/>
        <v>16300</v>
      </c>
      <c r="AF1308" s="16">
        <f>AF1305+AF1299</f>
        <v>14100</v>
      </c>
      <c r="AG1308" s="16">
        <f t="shared" ref="AG1308:AO1308" si="1054">AG1305+AG1299</f>
        <v>12600</v>
      </c>
      <c r="AH1308" s="16">
        <f t="shared" si="1054"/>
        <v>11200</v>
      </c>
      <c r="AI1308" s="16">
        <f t="shared" si="1054"/>
        <v>9800</v>
      </c>
      <c r="AJ1308" s="16">
        <f t="shared" si="1054"/>
        <v>8400</v>
      </c>
      <c r="AK1308" s="16">
        <f t="shared" si="1054"/>
        <v>7000</v>
      </c>
      <c r="AL1308" s="16">
        <f t="shared" si="1054"/>
        <v>5600</v>
      </c>
      <c r="AM1308" s="16">
        <f t="shared" si="1054"/>
        <v>4200</v>
      </c>
      <c r="AN1308" s="16">
        <f t="shared" si="1054"/>
        <v>2800</v>
      </c>
      <c r="AO1308" s="16">
        <f t="shared" si="1054"/>
        <v>1400</v>
      </c>
      <c r="AP1308" s="20" t="s">
        <v>11</v>
      </c>
      <c r="AQ1308" s="20"/>
      <c r="AR1308" s="20"/>
      <c r="AS1308" s="20"/>
      <c r="AT1308" s="20"/>
    </row>
    <row r="1309" spans="1:46" s="8" customFormat="1" ht="13.8" thickBot="1" x14ac:dyDescent="0.3">
      <c r="A1309" s="122"/>
      <c r="B1309" s="122"/>
      <c r="C1309" s="307"/>
      <c r="D1309" s="91"/>
      <c r="E1309" s="91"/>
      <c r="F1309" s="91"/>
      <c r="G1309" s="355" t="s">
        <v>1151</v>
      </c>
      <c r="H1309" s="91"/>
      <c r="I1309" s="91"/>
      <c r="J1309" s="52" t="s">
        <v>5</v>
      </c>
      <c r="K1309" s="53">
        <f>K1308+K1307</f>
        <v>2277000</v>
      </c>
      <c r="L1309" s="46"/>
      <c r="M1309" s="46"/>
      <c r="N1309" s="46"/>
      <c r="O1309" s="46"/>
      <c r="P1309" s="46"/>
      <c r="Q1309" s="46"/>
      <c r="R1309" s="46"/>
      <c r="S1309" s="46"/>
      <c r="T1309" s="46" t="e">
        <f t="shared" ref="T1309:W1309" si="1055">T1308+T1307</f>
        <v>#REF!</v>
      </c>
      <c r="U1309" s="46"/>
      <c r="V1309" s="46">
        <f t="shared" si="1055"/>
        <v>180100</v>
      </c>
      <c r="W1309" s="46">
        <f t="shared" si="1055"/>
        <v>174100</v>
      </c>
      <c r="X1309" s="46">
        <f t="shared" ref="X1309:AO1309" si="1056">X1308+X1307</f>
        <v>163100</v>
      </c>
      <c r="Y1309" s="46">
        <f t="shared" si="1056"/>
        <v>157350</v>
      </c>
      <c r="Z1309" s="503">
        <f t="shared" si="1056"/>
        <v>151600</v>
      </c>
      <c r="AA1309" s="542">
        <f t="shared" si="1056"/>
        <v>145850</v>
      </c>
      <c r="AB1309" s="46">
        <f t="shared" si="1056"/>
        <v>135100</v>
      </c>
      <c r="AC1309" s="46">
        <f t="shared" si="1056"/>
        <v>132900</v>
      </c>
      <c r="AD1309" s="46">
        <f t="shared" si="1056"/>
        <v>128500</v>
      </c>
      <c r="AE1309" s="46">
        <f t="shared" si="1056"/>
        <v>126300</v>
      </c>
      <c r="AF1309" s="46">
        <f t="shared" si="1056"/>
        <v>89100</v>
      </c>
      <c r="AG1309" s="46">
        <f t="shared" si="1056"/>
        <v>82600</v>
      </c>
      <c r="AH1309" s="46">
        <f t="shared" si="1056"/>
        <v>81200</v>
      </c>
      <c r="AI1309" s="46">
        <f t="shared" si="1056"/>
        <v>79800</v>
      </c>
      <c r="AJ1309" s="46">
        <f t="shared" si="1056"/>
        <v>78400</v>
      </c>
      <c r="AK1309" s="46">
        <f t="shared" si="1056"/>
        <v>77000</v>
      </c>
      <c r="AL1309" s="46">
        <f t="shared" si="1056"/>
        <v>75600</v>
      </c>
      <c r="AM1309" s="46">
        <f t="shared" si="1056"/>
        <v>74200</v>
      </c>
      <c r="AN1309" s="46">
        <f t="shared" si="1056"/>
        <v>72800</v>
      </c>
      <c r="AO1309" s="46">
        <f t="shared" si="1056"/>
        <v>71400</v>
      </c>
      <c r="AP1309" s="47" t="s">
        <v>11</v>
      </c>
      <c r="AQ1309" s="47"/>
      <c r="AR1309" s="47"/>
      <c r="AS1309" s="47"/>
      <c r="AT1309" s="47"/>
    </row>
    <row r="1310" spans="1:46" s="3" customFormat="1" x14ac:dyDescent="0.25">
      <c r="A1310" s="121"/>
      <c r="B1310" s="121"/>
      <c r="C1310" s="306"/>
      <c r="D1310" s="102"/>
      <c r="E1310" s="285"/>
      <c r="F1310" s="102"/>
      <c r="G1310" s="103" t="s">
        <v>1132</v>
      </c>
      <c r="H1310" s="103"/>
      <c r="I1310" s="103"/>
      <c r="J1310" s="104" t="s">
        <v>1</v>
      </c>
      <c r="K1310" s="105">
        <f>K1295+K1307</f>
        <v>5520000</v>
      </c>
      <c r="L1310" s="7"/>
      <c r="M1310" s="7"/>
      <c r="N1310" s="67"/>
      <c r="O1310" s="67"/>
      <c r="P1310" s="67"/>
      <c r="Q1310" s="67"/>
      <c r="R1310" s="67"/>
      <c r="S1310" s="67"/>
      <c r="T1310" s="67" t="e">
        <f>T1307+#REF!+T1295</f>
        <v>#REF!</v>
      </c>
      <c r="U1310" s="67"/>
      <c r="V1310" s="67">
        <f>V1307+V1295</f>
        <v>455000</v>
      </c>
      <c r="W1310" s="67">
        <f>W1307+W1295</f>
        <v>450000</v>
      </c>
      <c r="X1310" s="67">
        <f t="shared" ref="X1310:AO1310" si="1057">X1307+X1295</f>
        <v>440000</v>
      </c>
      <c r="Y1310" s="67">
        <f t="shared" si="1057"/>
        <v>430000</v>
      </c>
      <c r="Z1310" s="507">
        <f t="shared" si="1057"/>
        <v>430000</v>
      </c>
      <c r="AA1310" s="546">
        <f t="shared" si="1057"/>
        <v>320000</v>
      </c>
      <c r="AB1310" s="67">
        <f t="shared" si="1057"/>
        <v>315000</v>
      </c>
      <c r="AC1310" s="67">
        <f t="shared" si="1057"/>
        <v>300000</v>
      </c>
      <c r="AD1310" s="67">
        <f t="shared" si="1057"/>
        <v>300000</v>
      </c>
      <c r="AE1310" s="67">
        <f t="shared" si="1057"/>
        <v>280000</v>
      </c>
      <c r="AF1310" s="67">
        <f t="shared" si="1057"/>
        <v>215000</v>
      </c>
      <c r="AG1310" s="67">
        <f t="shared" si="1057"/>
        <v>210000</v>
      </c>
      <c r="AH1310" s="67">
        <f t="shared" si="1057"/>
        <v>210000</v>
      </c>
      <c r="AI1310" s="67">
        <f t="shared" si="1057"/>
        <v>210000</v>
      </c>
      <c r="AJ1310" s="67">
        <f t="shared" si="1057"/>
        <v>205000</v>
      </c>
      <c r="AK1310" s="67">
        <f t="shared" si="1057"/>
        <v>150000</v>
      </c>
      <c r="AL1310" s="67">
        <f t="shared" si="1057"/>
        <v>150000</v>
      </c>
      <c r="AM1310" s="67">
        <f t="shared" si="1057"/>
        <v>150000</v>
      </c>
      <c r="AN1310" s="67">
        <f t="shared" si="1057"/>
        <v>150000</v>
      </c>
      <c r="AO1310" s="67">
        <f t="shared" si="1057"/>
        <v>150000</v>
      </c>
      <c r="AP1310" s="3" t="s">
        <v>11</v>
      </c>
    </row>
    <row r="1311" spans="1:46" s="3" customFormat="1" ht="13.8" thickBot="1" x14ac:dyDescent="0.3">
      <c r="A1311" s="121"/>
      <c r="B1311" s="121"/>
      <c r="C1311" s="306"/>
      <c r="D1311" s="104"/>
      <c r="E1311" s="285" t="s">
        <v>1158</v>
      </c>
      <c r="F1311" s="104"/>
      <c r="G1311" s="399" t="s">
        <v>1157</v>
      </c>
      <c r="H1311" s="103"/>
      <c r="I1311" s="103"/>
      <c r="J1311" s="106" t="s">
        <v>2</v>
      </c>
      <c r="K1311" s="107">
        <f>K1296+K1308</f>
        <v>1215950</v>
      </c>
      <c r="L1311" s="22"/>
      <c r="M1311" s="22"/>
      <c r="N1311" s="22"/>
      <c r="O1311" s="22"/>
      <c r="P1311" s="22"/>
      <c r="Q1311" s="22"/>
      <c r="R1311" s="22"/>
      <c r="S1311" s="22"/>
      <c r="T1311" s="22" t="e">
        <f>T1308+#REF!+T1296</f>
        <v>#REF!</v>
      </c>
      <c r="U1311" s="22"/>
      <c r="V1311" s="22">
        <f>V1308+V1296</f>
        <v>192150</v>
      </c>
      <c r="W1311" s="22">
        <f>W1308+W1296</f>
        <v>169400</v>
      </c>
      <c r="X1311" s="22">
        <f t="shared" ref="X1311:AO1311" si="1058">X1308+X1296</f>
        <v>146900</v>
      </c>
      <c r="Y1311" s="22">
        <f t="shared" si="1058"/>
        <v>124900</v>
      </c>
      <c r="Z1311" s="506">
        <f t="shared" si="1058"/>
        <v>103400</v>
      </c>
      <c r="AA1311" s="545">
        <f t="shared" si="1058"/>
        <v>81900</v>
      </c>
      <c r="AB1311" s="22">
        <f t="shared" si="1058"/>
        <v>65900</v>
      </c>
      <c r="AC1311" s="22">
        <f t="shared" si="1058"/>
        <v>59600</v>
      </c>
      <c r="AD1311" s="22">
        <f t="shared" si="1058"/>
        <v>47600</v>
      </c>
      <c r="AE1311" s="22">
        <f t="shared" si="1058"/>
        <v>41600</v>
      </c>
      <c r="AF1311" s="22">
        <f t="shared" si="1058"/>
        <v>36000</v>
      </c>
      <c r="AG1311" s="22">
        <f t="shared" si="1058"/>
        <v>31700</v>
      </c>
      <c r="AH1311" s="22">
        <f t="shared" si="1058"/>
        <v>27500</v>
      </c>
      <c r="AI1311" s="22">
        <f t="shared" si="1058"/>
        <v>23300</v>
      </c>
      <c r="AJ1311" s="22">
        <f t="shared" si="1058"/>
        <v>19100</v>
      </c>
      <c r="AK1311" s="22">
        <f t="shared" si="1058"/>
        <v>15000</v>
      </c>
      <c r="AL1311" s="22">
        <f t="shared" si="1058"/>
        <v>12000</v>
      </c>
      <c r="AM1311" s="22">
        <f t="shared" si="1058"/>
        <v>9000</v>
      </c>
      <c r="AN1311" s="22">
        <f t="shared" si="1058"/>
        <v>6000</v>
      </c>
      <c r="AO1311" s="22">
        <f t="shared" si="1058"/>
        <v>3000</v>
      </c>
      <c r="AP1311" s="23" t="s">
        <v>11</v>
      </c>
      <c r="AQ1311" s="23"/>
      <c r="AR1311" s="23"/>
      <c r="AS1311" s="23"/>
      <c r="AT1311" s="23"/>
    </row>
    <row r="1312" spans="1:46" s="6" customFormat="1" x14ac:dyDescent="0.25">
      <c r="A1312" s="26"/>
      <c r="B1312" s="26"/>
      <c r="C1312" s="306"/>
      <c r="D1312" s="108"/>
      <c r="E1312" s="286" t="s">
        <v>1133</v>
      </c>
      <c r="F1312" s="108"/>
      <c r="G1312" s="287" t="s">
        <v>1342</v>
      </c>
      <c r="H1312" s="103"/>
      <c r="I1312" s="103"/>
      <c r="J1312" s="109" t="s">
        <v>5</v>
      </c>
      <c r="K1312" s="110">
        <f>K1311+K1310</f>
        <v>6735950</v>
      </c>
      <c r="L1312" s="67"/>
      <c r="M1312" s="67"/>
      <c r="N1312" s="282"/>
      <c r="O1312" s="282"/>
      <c r="P1312" s="282"/>
      <c r="Q1312" s="282"/>
      <c r="R1312" s="282"/>
      <c r="S1312" s="282"/>
      <c r="T1312" s="282" t="e">
        <f t="shared" ref="T1312:W1312" si="1059">T1311+T1310</f>
        <v>#REF!</v>
      </c>
      <c r="U1312" s="282"/>
      <c r="V1312" s="282">
        <f t="shared" si="1059"/>
        <v>647150</v>
      </c>
      <c r="W1312" s="282">
        <f t="shared" si="1059"/>
        <v>619400</v>
      </c>
      <c r="X1312" s="282">
        <f t="shared" ref="X1312:AO1312" si="1060">X1311+X1310</f>
        <v>586900</v>
      </c>
      <c r="Y1312" s="282">
        <f t="shared" si="1060"/>
        <v>554900</v>
      </c>
      <c r="Z1312" s="508">
        <f t="shared" si="1060"/>
        <v>533400</v>
      </c>
      <c r="AA1312" s="551">
        <f t="shared" si="1060"/>
        <v>401900</v>
      </c>
      <c r="AB1312" s="282">
        <f t="shared" si="1060"/>
        <v>380900</v>
      </c>
      <c r="AC1312" s="282">
        <f t="shared" si="1060"/>
        <v>359600</v>
      </c>
      <c r="AD1312" s="282">
        <f t="shared" si="1060"/>
        <v>347600</v>
      </c>
      <c r="AE1312" s="282">
        <f t="shared" si="1060"/>
        <v>321600</v>
      </c>
      <c r="AF1312" s="282">
        <f t="shared" si="1060"/>
        <v>251000</v>
      </c>
      <c r="AG1312" s="282">
        <f t="shared" si="1060"/>
        <v>241700</v>
      </c>
      <c r="AH1312" s="282">
        <f t="shared" si="1060"/>
        <v>237500</v>
      </c>
      <c r="AI1312" s="282">
        <f t="shared" si="1060"/>
        <v>233300</v>
      </c>
      <c r="AJ1312" s="282">
        <f t="shared" si="1060"/>
        <v>224100</v>
      </c>
      <c r="AK1312" s="282">
        <f t="shared" si="1060"/>
        <v>165000</v>
      </c>
      <c r="AL1312" s="282">
        <f t="shared" si="1060"/>
        <v>162000</v>
      </c>
      <c r="AM1312" s="282">
        <f t="shared" si="1060"/>
        <v>159000</v>
      </c>
      <c r="AN1312" s="282">
        <f t="shared" si="1060"/>
        <v>156000</v>
      </c>
      <c r="AO1312" s="282">
        <f t="shared" si="1060"/>
        <v>153000</v>
      </c>
      <c r="AP1312" s="134" t="s">
        <v>11</v>
      </c>
      <c r="AQ1312" s="69"/>
      <c r="AR1312" s="69"/>
      <c r="AS1312" s="69"/>
      <c r="AT1312" s="69"/>
    </row>
    <row r="1313" spans="1:46" s="2" customFormat="1" ht="13.8" thickBot="1" x14ac:dyDescent="0.3">
      <c r="A1313" s="119"/>
      <c r="B1313" s="119"/>
      <c r="C1313" s="308"/>
      <c r="D1313" s="49"/>
      <c r="E1313" s="49"/>
      <c r="F1313" s="49"/>
      <c r="G1313" s="128" t="s">
        <v>1204</v>
      </c>
      <c r="H1313" s="128"/>
      <c r="I1313" s="128"/>
      <c r="J1313" s="48"/>
      <c r="K1313" s="96"/>
      <c r="L1313" s="97"/>
      <c r="M1313" s="97"/>
      <c r="N1313" s="97"/>
      <c r="O1313" s="97"/>
      <c r="P1313" s="98"/>
      <c r="Q1313" s="98"/>
      <c r="R1313" s="98"/>
      <c r="S1313" s="383"/>
      <c r="T1313" s="98"/>
      <c r="U1313" s="48"/>
      <c r="V1313" s="48"/>
      <c r="W1313" s="48"/>
      <c r="X1313" s="48"/>
      <c r="Y1313" s="48"/>
      <c r="Z1313" s="48"/>
      <c r="AA1313" s="48"/>
      <c r="AB1313" s="48"/>
      <c r="AC1313" s="48"/>
      <c r="AD1313" s="48"/>
      <c r="AE1313" s="48"/>
      <c r="AF1313" s="48"/>
      <c r="AG1313" s="48"/>
      <c r="AH1313" s="48"/>
      <c r="AI1313" s="48"/>
      <c r="AJ1313" s="48"/>
      <c r="AK1313" s="48"/>
      <c r="AL1313" s="48"/>
      <c r="AM1313" s="48"/>
      <c r="AN1313" s="48"/>
      <c r="AO1313" s="48"/>
      <c r="AP1313" s="48"/>
      <c r="AQ1313" s="48"/>
      <c r="AR1313" s="48"/>
      <c r="AS1313" s="48"/>
      <c r="AT1313" s="48"/>
    </row>
    <row r="1314" spans="1:46" s="446" customFormat="1" x14ac:dyDescent="0.25">
      <c r="A1314" s="26" t="s">
        <v>99</v>
      </c>
      <c r="B1314" s="26" t="s">
        <v>96</v>
      </c>
      <c r="C1314" s="444"/>
      <c r="D1314" s="54" t="s">
        <v>3</v>
      </c>
      <c r="E1314" s="389">
        <v>44657</v>
      </c>
      <c r="F1314" s="456" t="s">
        <v>266</v>
      </c>
      <c r="G1314" s="313" t="s">
        <v>1163</v>
      </c>
      <c r="H1314" s="436">
        <v>31421153</v>
      </c>
      <c r="I1314" s="313">
        <v>581000</v>
      </c>
      <c r="J1314" s="2" t="s">
        <v>1</v>
      </c>
      <c r="K1314" s="27">
        <v>555000</v>
      </c>
      <c r="L1314" s="4"/>
      <c r="M1314" s="4"/>
      <c r="N1314" s="4"/>
      <c r="O1314" s="4"/>
      <c r="P1314" s="4"/>
      <c r="Q1314" s="453"/>
      <c r="R1314" s="453"/>
      <c r="S1314" s="453"/>
      <c r="T1314" s="453"/>
      <c r="U1314" s="445"/>
      <c r="V1314" s="419"/>
      <c r="W1314" s="457">
        <v>30000</v>
      </c>
      <c r="X1314" s="457">
        <v>30000</v>
      </c>
      <c r="Y1314" s="457">
        <v>30000</v>
      </c>
      <c r="Z1314" s="512">
        <v>30000</v>
      </c>
      <c r="AA1314" s="555">
        <v>30000</v>
      </c>
      <c r="AB1314" s="457">
        <v>30000</v>
      </c>
      <c r="AC1314" s="457">
        <v>30000</v>
      </c>
      <c r="AD1314" s="457">
        <v>30000</v>
      </c>
      <c r="AE1314" s="457">
        <v>30000</v>
      </c>
      <c r="AF1314" s="457">
        <v>30000</v>
      </c>
      <c r="AG1314" s="457">
        <v>30000</v>
      </c>
      <c r="AH1314" s="457">
        <v>25000</v>
      </c>
      <c r="AI1314" s="457">
        <v>25000</v>
      </c>
      <c r="AJ1314" s="457">
        <v>25000</v>
      </c>
      <c r="AK1314" s="457">
        <v>25000</v>
      </c>
      <c r="AL1314" s="457">
        <v>25000</v>
      </c>
      <c r="AM1314" s="457">
        <v>25000</v>
      </c>
      <c r="AN1314" s="457">
        <v>25000</v>
      </c>
      <c r="AO1314" s="457">
        <v>25000</v>
      </c>
      <c r="AP1314" s="457">
        <v>25000</v>
      </c>
      <c r="AQ1314" s="2" t="s">
        <v>11</v>
      </c>
      <c r="AR1314" s="424"/>
      <c r="AS1314" s="2"/>
      <c r="AT1314" s="2"/>
    </row>
    <row r="1315" spans="1:46" s="446" customFormat="1" x14ac:dyDescent="0.25">
      <c r="A1315" s="400" t="s">
        <v>1230</v>
      </c>
      <c r="B1315" s="26"/>
      <c r="C1315" s="444"/>
      <c r="D1315" s="54"/>
      <c r="E1315" s="387" t="s">
        <v>12</v>
      </c>
      <c r="F1315" s="35"/>
      <c r="G1315" s="35" t="s">
        <v>1164</v>
      </c>
      <c r="H1315" s="146" t="s">
        <v>1108</v>
      </c>
      <c r="I1315" s="35"/>
      <c r="J1315" s="17" t="s">
        <v>2</v>
      </c>
      <c r="K1315" s="447">
        <v>194308.68</v>
      </c>
      <c r="L1315" s="11"/>
      <c r="M1315" s="11"/>
      <c r="N1315" s="11"/>
      <c r="O1315" s="11"/>
      <c r="P1315" s="4"/>
      <c r="Q1315" s="453"/>
      <c r="R1315" s="453"/>
      <c r="S1315" s="453"/>
      <c r="T1315" s="453"/>
      <c r="U1315" s="445"/>
      <c r="V1315" s="448"/>
      <c r="W1315" s="478">
        <f>10633.67+10937.5</f>
        <v>21571.17</v>
      </c>
      <c r="X1315" s="457">
        <f>10187.5+10187.5</f>
        <v>20375</v>
      </c>
      <c r="Y1315" s="457">
        <f>9437.5+9437.5</f>
        <v>18875</v>
      </c>
      <c r="Z1315" s="512">
        <f>8687.5+8687.5</f>
        <v>17375</v>
      </c>
      <c r="AA1315" s="555">
        <f>7937.5+7937.5</f>
        <v>15875</v>
      </c>
      <c r="AB1315" s="457">
        <f>7187.5+7187.5</f>
        <v>14375</v>
      </c>
      <c r="AC1315" s="457">
        <f>6437.5+6437.5</f>
        <v>12875</v>
      </c>
      <c r="AD1315" s="457">
        <f>5687.5+5687.5</f>
        <v>11375</v>
      </c>
      <c r="AE1315" s="457">
        <f>5087.5+5087.5</f>
        <v>10175</v>
      </c>
      <c r="AF1315" s="457">
        <f>4487.5+4487.5</f>
        <v>8975</v>
      </c>
      <c r="AG1315" s="457">
        <f>3887.5+3887.5</f>
        <v>7775</v>
      </c>
      <c r="AH1315" s="457">
        <f>3437.5+3437.5</f>
        <v>6875</v>
      </c>
      <c r="AI1315" s="457">
        <f>3062.5+3062.5</f>
        <v>6125</v>
      </c>
      <c r="AJ1315" s="457">
        <f>2687.5+2687.5</f>
        <v>5375</v>
      </c>
      <c r="AK1315" s="445">
        <f>2312.5+2312.5</f>
        <v>4625</v>
      </c>
      <c r="AL1315" s="445">
        <f>1937.5+1937.5</f>
        <v>3875</v>
      </c>
      <c r="AM1315" s="445">
        <f>1562.5+1562.5</f>
        <v>3125</v>
      </c>
      <c r="AN1315" s="445">
        <f>1171.88+1171.87</f>
        <v>2343.75</v>
      </c>
      <c r="AO1315" s="445">
        <f>781.25+781.25</f>
        <v>1562.5</v>
      </c>
      <c r="AP1315" s="445">
        <f>390.63+390.62</f>
        <v>781.25</v>
      </c>
      <c r="AQ1315" s="17" t="s">
        <v>11</v>
      </c>
      <c r="AR1315" s="418"/>
      <c r="AS1315" s="17"/>
      <c r="AT1315" s="17"/>
    </row>
    <row r="1316" spans="1:46" s="450" customFormat="1" ht="13.8" thickBot="1" x14ac:dyDescent="0.3">
      <c r="A1316" s="120"/>
      <c r="B1316" s="120"/>
      <c r="C1316" s="120"/>
      <c r="D1316" s="85"/>
      <c r="E1316" s="145" t="s">
        <v>15</v>
      </c>
      <c r="F1316" s="391" t="s">
        <v>405</v>
      </c>
      <c r="G1316" s="141" t="s">
        <v>1300</v>
      </c>
      <c r="H1316" s="145"/>
      <c r="I1316" s="125"/>
      <c r="J1316" s="450" t="s">
        <v>5</v>
      </c>
      <c r="K1316" s="451">
        <f>K1315+K1314</f>
        <v>749308.67999999993</v>
      </c>
      <c r="L1316" s="43"/>
      <c r="M1316" s="43"/>
      <c r="N1316" s="43"/>
      <c r="O1316" s="43"/>
      <c r="P1316" s="43">
        <f>P1315+P1314</f>
        <v>0</v>
      </c>
      <c r="Q1316" s="414"/>
      <c r="R1316" s="43">
        <f>R1315+R1314</f>
        <v>0</v>
      </c>
      <c r="S1316" s="43">
        <f>S1315+S1314</f>
        <v>0</v>
      </c>
      <c r="T1316" s="43"/>
      <c r="U1316" s="43">
        <f>U1315+U1314</f>
        <v>0</v>
      </c>
      <c r="V1316" s="412"/>
      <c r="W1316" s="412">
        <f t="shared" ref="W1316:AP1316" si="1061">W1315+W1314</f>
        <v>51571.17</v>
      </c>
      <c r="X1316" s="412">
        <f t="shared" si="1061"/>
        <v>50375</v>
      </c>
      <c r="Y1316" s="412">
        <f t="shared" si="1061"/>
        <v>48875</v>
      </c>
      <c r="Z1316" s="510">
        <f t="shared" si="1061"/>
        <v>47375</v>
      </c>
      <c r="AA1316" s="553">
        <f t="shared" si="1061"/>
        <v>45875</v>
      </c>
      <c r="AB1316" s="412">
        <f t="shared" si="1061"/>
        <v>44375</v>
      </c>
      <c r="AC1316" s="412">
        <f t="shared" si="1061"/>
        <v>42875</v>
      </c>
      <c r="AD1316" s="412">
        <f t="shared" si="1061"/>
        <v>41375</v>
      </c>
      <c r="AE1316" s="412">
        <f t="shared" si="1061"/>
        <v>40175</v>
      </c>
      <c r="AF1316" s="412">
        <f t="shared" si="1061"/>
        <v>38975</v>
      </c>
      <c r="AG1316" s="412">
        <f t="shared" si="1061"/>
        <v>37775</v>
      </c>
      <c r="AH1316" s="412">
        <f t="shared" si="1061"/>
        <v>31875</v>
      </c>
      <c r="AI1316" s="412">
        <f t="shared" si="1061"/>
        <v>31125</v>
      </c>
      <c r="AJ1316" s="412">
        <f t="shared" si="1061"/>
        <v>30375</v>
      </c>
      <c r="AK1316" s="412">
        <f t="shared" si="1061"/>
        <v>29625</v>
      </c>
      <c r="AL1316" s="412">
        <f t="shared" si="1061"/>
        <v>28875</v>
      </c>
      <c r="AM1316" s="412">
        <f t="shared" si="1061"/>
        <v>28125</v>
      </c>
      <c r="AN1316" s="412">
        <f t="shared" si="1061"/>
        <v>27343.75</v>
      </c>
      <c r="AO1316" s="412">
        <f t="shared" si="1061"/>
        <v>26562.5</v>
      </c>
      <c r="AP1316" s="412">
        <f t="shared" si="1061"/>
        <v>25781.25</v>
      </c>
      <c r="AQ1316" s="41" t="s">
        <v>11</v>
      </c>
      <c r="AR1316" s="411"/>
      <c r="AS1316" s="41"/>
      <c r="AT1316" s="41"/>
    </row>
    <row r="1317" spans="1:46" s="446" customFormat="1" x14ac:dyDescent="0.25">
      <c r="A1317" s="380" t="s">
        <v>102</v>
      </c>
      <c r="B1317" s="26" t="s">
        <v>96</v>
      </c>
      <c r="C1317" s="444"/>
      <c r="D1317" s="54" t="s">
        <v>3</v>
      </c>
      <c r="E1317" s="389">
        <v>44657</v>
      </c>
      <c r="F1317" s="456" t="s">
        <v>266</v>
      </c>
      <c r="G1317" s="314" t="s">
        <v>1166</v>
      </c>
      <c r="H1317" s="428">
        <v>31422153</v>
      </c>
      <c r="I1317" s="314">
        <v>585111</v>
      </c>
      <c r="J1317" s="2" t="s">
        <v>1</v>
      </c>
      <c r="K1317" s="27">
        <v>295000</v>
      </c>
      <c r="L1317" s="4"/>
      <c r="M1317" s="4"/>
      <c r="N1317" s="4"/>
      <c r="O1317" s="4"/>
      <c r="P1317" s="4"/>
      <c r="Q1317" s="453"/>
      <c r="R1317" s="453"/>
      <c r="S1317" s="453"/>
      <c r="T1317" s="453"/>
      <c r="U1317" s="445"/>
      <c r="V1317" s="419"/>
      <c r="W1317" s="457">
        <v>60000</v>
      </c>
      <c r="X1317" s="457">
        <v>60000</v>
      </c>
      <c r="Y1317" s="457">
        <v>60000</v>
      </c>
      <c r="Z1317" s="512">
        <v>60000</v>
      </c>
      <c r="AA1317" s="555">
        <v>55000</v>
      </c>
      <c r="AB1317" s="2" t="s">
        <v>11</v>
      </c>
      <c r="AC1317" s="430"/>
      <c r="AD1317" s="430"/>
      <c r="AE1317" s="430"/>
      <c r="AF1317" s="430"/>
      <c r="AG1317" s="430"/>
      <c r="AH1317" s="430"/>
      <c r="AI1317" s="430"/>
      <c r="AJ1317" s="430"/>
      <c r="AK1317" s="430"/>
      <c r="AL1317" s="430"/>
      <c r="AM1317" s="430"/>
      <c r="AN1317" s="430"/>
      <c r="AO1317" s="430"/>
      <c r="AP1317" s="430"/>
      <c r="AQ1317" s="424"/>
      <c r="AR1317" s="424"/>
      <c r="AS1317" s="2"/>
      <c r="AT1317" s="2"/>
    </row>
    <row r="1318" spans="1:46" s="446" customFormat="1" x14ac:dyDescent="0.25">
      <c r="A1318" s="400" t="s">
        <v>1231</v>
      </c>
      <c r="B1318" s="26"/>
      <c r="C1318" s="444"/>
      <c r="D1318" s="54"/>
      <c r="E1318" s="387" t="s">
        <v>12</v>
      </c>
      <c r="F1318" s="35"/>
      <c r="G1318" s="35" t="s">
        <v>1167</v>
      </c>
      <c r="H1318" s="146" t="s">
        <v>1106</v>
      </c>
      <c r="I1318" s="35"/>
      <c r="J1318" s="17" t="s">
        <v>2</v>
      </c>
      <c r="K1318" s="447">
        <v>43545.14</v>
      </c>
      <c r="L1318" s="11"/>
      <c r="M1318" s="11"/>
      <c r="N1318" s="11"/>
      <c r="O1318" s="11"/>
      <c r="P1318" s="4"/>
      <c r="Q1318" s="453"/>
      <c r="R1318" s="453"/>
      <c r="S1318" s="453"/>
      <c r="T1318" s="453"/>
      <c r="U1318" s="445"/>
      <c r="V1318" s="448"/>
      <c r="W1318" s="457">
        <f>7170.14+7375</f>
        <v>14545.14</v>
      </c>
      <c r="X1318" s="457">
        <f>5875+5875</f>
        <v>11750</v>
      </c>
      <c r="Y1318" s="457">
        <f>4375+4375</f>
        <v>8750</v>
      </c>
      <c r="Z1318" s="512">
        <f>2875+2875</f>
        <v>5750</v>
      </c>
      <c r="AA1318" s="555">
        <f>1375+1375</f>
        <v>2750</v>
      </c>
      <c r="AB1318" s="17" t="s">
        <v>11</v>
      </c>
      <c r="AC1318" s="458"/>
      <c r="AD1318" s="458"/>
      <c r="AE1318" s="458"/>
      <c r="AF1318" s="458"/>
      <c r="AG1318" s="458"/>
      <c r="AH1318" s="458"/>
      <c r="AI1318" s="458"/>
      <c r="AJ1318" s="430"/>
      <c r="AK1318" s="430"/>
      <c r="AL1318" s="430"/>
      <c r="AM1318" s="430"/>
      <c r="AN1318" s="430"/>
      <c r="AO1318" s="430"/>
      <c r="AP1318" s="430"/>
      <c r="AQ1318" s="418"/>
      <c r="AR1318" s="418"/>
      <c r="AS1318" s="17"/>
      <c r="AT1318" s="17"/>
    </row>
    <row r="1319" spans="1:46" s="450" customFormat="1" ht="13.8" thickBot="1" x14ac:dyDescent="0.3">
      <c r="A1319" s="120"/>
      <c r="B1319" s="120"/>
      <c r="C1319" s="120"/>
      <c r="D1319" s="85"/>
      <c r="E1319" s="145" t="s">
        <v>160</v>
      </c>
      <c r="F1319" s="391" t="s">
        <v>405</v>
      </c>
      <c r="G1319" s="141" t="s">
        <v>1168</v>
      </c>
      <c r="H1319" s="145"/>
      <c r="I1319" s="125"/>
      <c r="J1319" s="450" t="s">
        <v>5</v>
      </c>
      <c r="K1319" s="451">
        <f>K1318+K1317</f>
        <v>338545.14</v>
      </c>
      <c r="L1319" s="43"/>
      <c r="M1319" s="43"/>
      <c r="N1319" s="43"/>
      <c r="O1319" s="43"/>
      <c r="P1319" s="43">
        <f>P1318+P1317</f>
        <v>0</v>
      </c>
      <c r="Q1319" s="414"/>
      <c r="R1319" s="43">
        <f>R1318+R1317</f>
        <v>0</v>
      </c>
      <c r="S1319" s="43">
        <f>S1318+S1317</f>
        <v>0</v>
      </c>
      <c r="T1319" s="43"/>
      <c r="U1319" s="43">
        <f>U1318+U1317</f>
        <v>0</v>
      </c>
      <c r="V1319" s="412"/>
      <c r="W1319" s="412">
        <f>W1318+W1317</f>
        <v>74545.14</v>
      </c>
      <c r="X1319" s="412">
        <f>X1318+X1317</f>
        <v>71750</v>
      </c>
      <c r="Y1319" s="412">
        <f>Y1318+Y1317</f>
        <v>68750</v>
      </c>
      <c r="Z1319" s="510">
        <f>Z1318+Z1317</f>
        <v>65750</v>
      </c>
      <c r="AA1319" s="553">
        <f>AA1318+AA1317</f>
        <v>57750</v>
      </c>
      <c r="AB1319" s="41" t="s">
        <v>11</v>
      </c>
      <c r="AC1319" s="412"/>
      <c r="AD1319" s="412"/>
      <c r="AE1319" s="412"/>
      <c r="AF1319" s="412"/>
      <c r="AG1319" s="412"/>
      <c r="AH1319" s="412"/>
      <c r="AI1319" s="412"/>
      <c r="AJ1319" s="412"/>
      <c r="AK1319" s="412"/>
      <c r="AL1319" s="411"/>
      <c r="AM1319" s="411"/>
      <c r="AN1319" s="411"/>
      <c r="AO1319" s="411"/>
      <c r="AP1319" s="411"/>
      <c r="AQ1319" s="411"/>
      <c r="AR1319" s="411"/>
      <c r="AS1319" s="41"/>
      <c r="AT1319" s="41"/>
    </row>
    <row r="1320" spans="1:46" s="446" customFormat="1" x14ac:dyDescent="0.25">
      <c r="A1320" s="380" t="s">
        <v>102</v>
      </c>
      <c r="B1320" s="26" t="s">
        <v>96</v>
      </c>
      <c r="C1320" s="444"/>
      <c r="D1320" s="54" t="s">
        <v>3</v>
      </c>
      <c r="E1320" s="389">
        <v>44657</v>
      </c>
      <c r="F1320" s="456" t="s">
        <v>266</v>
      </c>
      <c r="G1320" s="314" t="s">
        <v>1112</v>
      </c>
      <c r="H1320" s="428">
        <v>31422153</v>
      </c>
      <c r="I1320" s="314">
        <v>585103</v>
      </c>
      <c r="J1320" s="2" t="s">
        <v>1</v>
      </c>
      <c r="K1320" s="27">
        <v>195000</v>
      </c>
      <c r="L1320" s="4"/>
      <c r="M1320" s="4"/>
      <c r="N1320" s="4"/>
      <c r="O1320" s="4"/>
      <c r="P1320" s="4"/>
      <c r="Q1320" s="453"/>
      <c r="R1320" s="453"/>
      <c r="S1320" s="453"/>
      <c r="T1320" s="453"/>
      <c r="U1320" s="445"/>
      <c r="V1320" s="420"/>
      <c r="W1320" s="445">
        <v>20000</v>
      </c>
      <c r="X1320" s="445">
        <v>20000</v>
      </c>
      <c r="Y1320" s="445">
        <v>20000</v>
      </c>
      <c r="Z1320" s="513">
        <v>20000</v>
      </c>
      <c r="AA1320" s="556">
        <v>20000</v>
      </c>
      <c r="AB1320" s="445">
        <v>20000</v>
      </c>
      <c r="AC1320" s="445">
        <v>20000</v>
      </c>
      <c r="AD1320" s="445">
        <v>20000</v>
      </c>
      <c r="AE1320" s="445">
        <v>20000</v>
      </c>
      <c r="AF1320" s="445">
        <v>15000</v>
      </c>
      <c r="AG1320" s="2" t="s">
        <v>11</v>
      </c>
      <c r="AH1320" s="419"/>
      <c r="AI1320" s="419"/>
      <c r="AJ1320" s="419"/>
      <c r="AK1320" s="424"/>
      <c r="AL1320" s="424"/>
      <c r="AM1320" s="424"/>
      <c r="AN1320" s="424"/>
      <c r="AO1320" s="424"/>
      <c r="AP1320" s="424"/>
      <c r="AQ1320" s="424"/>
      <c r="AR1320" s="424"/>
      <c r="AS1320" s="2"/>
      <c r="AT1320" s="2"/>
    </row>
    <row r="1321" spans="1:46" s="446" customFormat="1" x14ac:dyDescent="0.25">
      <c r="A1321" s="400" t="s">
        <v>1232</v>
      </c>
      <c r="B1321" s="26"/>
      <c r="C1321" s="444"/>
      <c r="D1321" s="54"/>
      <c r="E1321" s="387" t="s">
        <v>12</v>
      </c>
      <c r="F1321" s="35"/>
      <c r="G1321" s="35" t="s">
        <v>1169</v>
      </c>
      <c r="H1321" s="146" t="s">
        <v>1105</v>
      </c>
      <c r="I1321" s="35"/>
      <c r="J1321" s="17" t="s">
        <v>2</v>
      </c>
      <c r="K1321" s="447">
        <v>47472.22</v>
      </c>
      <c r="L1321" s="11"/>
      <c r="M1321" s="11"/>
      <c r="N1321" s="11"/>
      <c r="O1321" s="11"/>
      <c r="P1321" s="4"/>
      <c r="Q1321" s="453"/>
      <c r="R1321" s="453"/>
      <c r="S1321" s="453"/>
      <c r="T1321" s="453"/>
      <c r="U1321" s="445"/>
      <c r="V1321" s="420"/>
      <c r="W1321" s="445">
        <f>4472.22+4600</f>
        <v>9072.2200000000012</v>
      </c>
      <c r="X1321" s="445">
        <f>4100+4100</f>
        <v>8200</v>
      </c>
      <c r="Y1321" s="445">
        <f>3600+3600</f>
        <v>7200</v>
      </c>
      <c r="Z1321" s="513">
        <f>3100+3100</f>
        <v>6200</v>
      </c>
      <c r="AA1321" s="556">
        <f>2600+2600</f>
        <v>5200</v>
      </c>
      <c r="AB1321" s="445">
        <f>2100+2100</f>
        <v>4200</v>
      </c>
      <c r="AC1321" s="445">
        <f>1600+1600</f>
        <v>3200</v>
      </c>
      <c r="AD1321" s="445">
        <f>1100+1100</f>
        <v>2200</v>
      </c>
      <c r="AE1321" s="445">
        <f>700+700</f>
        <v>1400</v>
      </c>
      <c r="AF1321" s="445">
        <f>300+300</f>
        <v>600</v>
      </c>
      <c r="AG1321" s="17" t="s">
        <v>11</v>
      </c>
      <c r="AH1321" s="419"/>
      <c r="AI1321" s="419"/>
      <c r="AJ1321" s="419"/>
      <c r="AK1321" s="418"/>
      <c r="AL1321" s="418"/>
      <c r="AM1321" s="418"/>
      <c r="AN1321" s="418"/>
      <c r="AO1321" s="418"/>
      <c r="AP1321" s="418"/>
      <c r="AQ1321" s="418"/>
      <c r="AR1321" s="418"/>
      <c r="AS1321" s="17"/>
      <c r="AT1321" s="17"/>
    </row>
    <row r="1322" spans="1:46" s="450" customFormat="1" ht="13.8" thickBot="1" x14ac:dyDescent="0.3">
      <c r="A1322" s="120"/>
      <c r="B1322" s="120"/>
      <c r="C1322" s="120"/>
      <c r="D1322" s="85"/>
      <c r="E1322" s="145" t="s">
        <v>160</v>
      </c>
      <c r="F1322" s="391" t="s">
        <v>405</v>
      </c>
      <c r="G1322" s="141" t="s">
        <v>1168</v>
      </c>
      <c r="H1322" s="145"/>
      <c r="I1322" s="125"/>
      <c r="J1322" s="450" t="s">
        <v>5</v>
      </c>
      <c r="K1322" s="451">
        <f>K1321+K1320</f>
        <v>242472.22</v>
      </c>
      <c r="L1322" s="43"/>
      <c r="M1322" s="43"/>
      <c r="N1322" s="43"/>
      <c r="O1322" s="43"/>
      <c r="P1322" s="43">
        <f>P1321+P1320</f>
        <v>0</v>
      </c>
      <c r="Q1322" s="414"/>
      <c r="R1322" s="43">
        <f>R1321+R1320</f>
        <v>0</v>
      </c>
      <c r="S1322" s="43">
        <f>S1321+S1320</f>
        <v>0</v>
      </c>
      <c r="T1322" s="43"/>
      <c r="U1322" s="43">
        <f t="shared" ref="U1322" si="1062">U1321+U1320</f>
        <v>0</v>
      </c>
      <c r="V1322" s="412"/>
      <c r="W1322" s="412">
        <f t="shared" ref="W1322:AF1322" si="1063">W1321+W1320</f>
        <v>29072.22</v>
      </c>
      <c r="X1322" s="412">
        <f t="shared" si="1063"/>
        <v>28200</v>
      </c>
      <c r="Y1322" s="412">
        <f t="shared" si="1063"/>
        <v>27200</v>
      </c>
      <c r="Z1322" s="510">
        <f t="shared" si="1063"/>
        <v>26200</v>
      </c>
      <c r="AA1322" s="553">
        <f t="shared" si="1063"/>
        <v>25200</v>
      </c>
      <c r="AB1322" s="412">
        <f t="shared" si="1063"/>
        <v>24200</v>
      </c>
      <c r="AC1322" s="412">
        <f t="shared" si="1063"/>
        <v>23200</v>
      </c>
      <c r="AD1322" s="412">
        <f t="shared" si="1063"/>
        <v>22200</v>
      </c>
      <c r="AE1322" s="412">
        <f t="shared" si="1063"/>
        <v>21400</v>
      </c>
      <c r="AF1322" s="412">
        <f t="shared" si="1063"/>
        <v>15600</v>
      </c>
      <c r="AG1322" s="41" t="s">
        <v>11</v>
      </c>
      <c r="AH1322" s="412"/>
      <c r="AI1322" s="412"/>
      <c r="AJ1322" s="412"/>
      <c r="AK1322" s="411"/>
      <c r="AL1322" s="411"/>
      <c r="AM1322" s="411"/>
      <c r="AN1322" s="411"/>
      <c r="AO1322" s="411"/>
      <c r="AP1322" s="411"/>
      <c r="AQ1322" s="411"/>
      <c r="AR1322" s="411"/>
      <c r="AS1322" s="41"/>
      <c r="AT1322" s="41"/>
    </row>
    <row r="1323" spans="1:46" s="446" customFormat="1" x14ac:dyDescent="0.25">
      <c r="A1323" s="380" t="s">
        <v>102</v>
      </c>
      <c r="B1323" s="26" t="s">
        <v>96</v>
      </c>
      <c r="C1323" s="444"/>
      <c r="D1323" s="54" t="s">
        <v>3</v>
      </c>
      <c r="E1323" s="389">
        <v>44657</v>
      </c>
      <c r="F1323" s="456" t="s">
        <v>266</v>
      </c>
      <c r="G1323" s="314" t="s">
        <v>1170</v>
      </c>
      <c r="H1323" s="428">
        <v>31220153</v>
      </c>
      <c r="I1323" s="314">
        <v>585019</v>
      </c>
      <c r="J1323" s="2" t="s">
        <v>1</v>
      </c>
      <c r="K1323" s="27">
        <v>1165000</v>
      </c>
      <c r="L1323" s="4"/>
      <c r="M1323" s="4"/>
      <c r="N1323" s="4"/>
      <c r="O1323" s="4"/>
      <c r="P1323" s="4"/>
      <c r="Q1323" s="453"/>
      <c r="R1323" s="453"/>
      <c r="S1323" s="453"/>
      <c r="T1323" s="453"/>
      <c r="U1323" s="445"/>
      <c r="V1323" s="419"/>
      <c r="W1323" s="459">
        <v>120000</v>
      </c>
      <c r="X1323" s="459">
        <v>120000</v>
      </c>
      <c r="Y1323" s="459">
        <v>120000</v>
      </c>
      <c r="Z1323" s="514">
        <v>115000</v>
      </c>
      <c r="AA1323" s="557">
        <v>115000</v>
      </c>
      <c r="AB1323" s="459">
        <v>115000</v>
      </c>
      <c r="AC1323" s="459">
        <v>115000</v>
      </c>
      <c r="AD1323" s="459">
        <v>115000</v>
      </c>
      <c r="AE1323" s="459">
        <v>115000</v>
      </c>
      <c r="AF1323" s="459">
        <v>115000</v>
      </c>
      <c r="AG1323" s="2" t="s">
        <v>11</v>
      </c>
      <c r="AH1323" s="430"/>
      <c r="AI1323" s="430"/>
      <c r="AJ1323" s="430"/>
      <c r="AK1323" s="430"/>
      <c r="AL1323" s="430"/>
      <c r="AM1323" s="430"/>
      <c r="AN1323" s="430"/>
      <c r="AO1323" s="430"/>
      <c r="AP1323" s="430"/>
      <c r="AQ1323" s="424"/>
      <c r="AR1323" s="424"/>
      <c r="AS1323" s="2"/>
      <c r="AT1323" s="2"/>
    </row>
    <row r="1324" spans="1:46" s="446" customFormat="1" x14ac:dyDescent="0.25">
      <c r="A1324" s="400" t="s">
        <v>1233</v>
      </c>
      <c r="B1324" s="26"/>
      <c r="C1324" s="444"/>
      <c r="D1324" s="54"/>
      <c r="E1324" s="387" t="s">
        <v>12</v>
      </c>
      <c r="F1324" s="35"/>
      <c r="G1324" s="35" t="s">
        <v>1171</v>
      </c>
      <c r="H1324" s="146" t="s">
        <v>1105</v>
      </c>
      <c r="I1324" s="35"/>
      <c r="J1324" s="17" t="s">
        <v>2</v>
      </c>
      <c r="K1324" s="447">
        <v>285938.89</v>
      </c>
      <c r="L1324" s="11"/>
      <c r="M1324" s="11"/>
      <c r="N1324" s="11"/>
      <c r="O1324" s="11"/>
      <c r="P1324" s="4"/>
      <c r="Q1324" s="453"/>
      <c r="R1324" s="453"/>
      <c r="S1324" s="453"/>
      <c r="T1324" s="453"/>
      <c r="U1324" s="445"/>
      <c r="V1324" s="448"/>
      <c r="W1324" s="459">
        <f>26638.89+27400</f>
        <v>54038.89</v>
      </c>
      <c r="X1324" s="459">
        <f>24400+24400</f>
        <v>48800</v>
      </c>
      <c r="Y1324" s="459">
        <f>21400+21400</f>
        <v>42800</v>
      </c>
      <c r="Z1324" s="514">
        <f>18400+18400</f>
        <v>36800</v>
      </c>
      <c r="AA1324" s="557">
        <f>15525+15525</f>
        <v>31050</v>
      </c>
      <c r="AB1324" s="459">
        <f>12650+12650</f>
        <v>25300</v>
      </c>
      <c r="AC1324" s="459">
        <f>9775+9775</f>
        <v>19550</v>
      </c>
      <c r="AD1324" s="459">
        <f>6900+6900</f>
        <v>13800</v>
      </c>
      <c r="AE1324" s="459">
        <f>4600+4600</f>
        <v>9200</v>
      </c>
      <c r="AF1324" s="459">
        <f>2300+2300</f>
        <v>4600</v>
      </c>
      <c r="AG1324" s="17" t="s">
        <v>11</v>
      </c>
      <c r="AH1324" s="458"/>
      <c r="AI1324" s="458"/>
      <c r="AJ1324" s="430"/>
      <c r="AK1324" s="430"/>
      <c r="AL1324" s="430"/>
      <c r="AM1324" s="430"/>
      <c r="AN1324" s="430"/>
      <c r="AO1324" s="430"/>
      <c r="AP1324" s="430"/>
      <c r="AQ1324" s="418"/>
      <c r="AR1324" s="418"/>
      <c r="AS1324" s="17"/>
      <c r="AT1324" s="17"/>
    </row>
    <row r="1325" spans="1:46" s="450" customFormat="1" ht="13.8" thickBot="1" x14ac:dyDescent="0.3">
      <c r="A1325" s="120"/>
      <c r="B1325" s="120"/>
      <c r="C1325" s="120"/>
      <c r="D1325" s="85"/>
      <c r="E1325" s="145" t="s">
        <v>160</v>
      </c>
      <c r="F1325" s="391" t="s">
        <v>409</v>
      </c>
      <c r="G1325" s="141" t="s">
        <v>1172</v>
      </c>
      <c r="H1325" s="145"/>
      <c r="I1325" s="125"/>
      <c r="J1325" s="450" t="s">
        <v>5</v>
      </c>
      <c r="K1325" s="451">
        <f>K1324+K1323</f>
        <v>1450938.8900000001</v>
      </c>
      <c r="L1325" s="43"/>
      <c r="M1325" s="43"/>
      <c r="N1325" s="43"/>
      <c r="O1325" s="43"/>
      <c r="P1325" s="43">
        <f>P1324+P1323</f>
        <v>0</v>
      </c>
      <c r="Q1325" s="414"/>
      <c r="R1325" s="43">
        <f>R1324+R1323</f>
        <v>0</v>
      </c>
      <c r="S1325" s="43">
        <f>S1324+S1323</f>
        <v>0</v>
      </c>
      <c r="T1325" s="43"/>
      <c r="U1325" s="43">
        <f>U1324+U1323</f>
        <v>0</v>
      </c>
      <c r="V1325" s="412"/>
      <c r="W1325" s="412">
        <f>W1324+W1323</f>
        <v>174038.89</v>
      </c>
      <c r="X1325" s="412">
        <f>X1324+X1323</f>
        <v>168800</v>
      </c>
      <c r="Y1325" s="412">
        <f>Y1324+Y1323</f>
        <v>162800</v>
      </c>
      <c r="Z1325" s="510">
        <f>Z1324+Z1323</f>
        <v>151800</v>
      </c>
      <c r="AA1325" s="553">
        <f>AA1324+AA1323</f>
        <v>146050</v>
      </c>
      <c r="AB1325" s="412">
        <f t="shared" ref="AB1325:AF1325" si="1064">AB1324+AB1323</f>
        <v>140300</v>
      </c>
      <c r="AC1325" s="412">
        <f t="shared" si="1064"/>
        <v>134550</v>
      </c>
      <c r="AD1325" s="412">
        <f t="shared" si="1064"/>
        <v>128800</v>
      </c>
      <c r="AE1325" s="412">
        <f t="shared" si="1064"/>
        <v>124200</v>
      </c>
      <c r="AF1325" s="412">
        <f t="shared" si="1064"/>
        <v>119600</v>
      </c>
      <c r="AG1325" s="41" t="s">
        <v>11</v>
      </c>
      <c r="AH1325" s="412"/>
      <c r="AI1325" s="412"/>
      <c r="AJ1325" s="412"/>
      <c r="AK1325" s="412"/>
      <c r="AL1325" s="411"/>
      <c r="AM1325" s="411"/>
      <c r="AN1325" s="411"/>
      <c r="AO1325" s="411"/>
      <c r="AP1325" s="411"/>
      <c r="AQ1325" s="411"/>
      <c r="AR1325" s="411"/>
      <c r="AS1325" s="41"/>
      <c r="AT1325" s="41"/>
    </row>
    <row r="1326" spans="1:46" s="446" customFormat="1" x14ac:dyDescent="0.25">
      <c r="A1326" s="380" t="s">
        <v>102</v>
      </c>
      <c r="B1326" s="26" t="s">
        <v>96</v>
      </c>
      <c r="C1326" s="444"/>
      <c r="D1326" s="54" t="s">
        <v>3</v>
      </c>
      <c r="E1326" s="389">
        <v>44657</v>
      </c>
      <c r="F1326" s="456" t="s">
        <v>266</v>
      </c>
      <c r="G1326" s="314" t="s">
        <v>1173</v>
      </c>
      <c r="H1326" s="428">
        <v>31220153</v>
      </c>
      <c r="I1326" s="314">
        <v>585104</v>
      </c>
      <c r="J1326" s="2" t="s">
        <v>1</v>
      </c>
      <c r="K1326" s="27">
        <v>725000</v>
      </c>
      <c r="L1326" s="4"/>
      <c r="M1326" s="4"/>
      <c r="N1326" s="4"/>
      <c r="O1326" s="4"/>
      <c r="P1326" s="4"/>
      <c r="Q1326" s="453"/>
      <c r="R1326" s="453"/>
      <c r="S1326" s="453"/>
      <c r="T1326" s="453"/>
      <c r="U1326" s="445"/>
      <c r="V1326" s="419"/>
      <c r="W1326" s="445">
        <v>75000</v>
      </c>
      <c r="X1326" s="445">
        <v>75000</v>
      </c>
      <c r="Y1326" s="445">
        <v>75000</v>
      </c>
      <c r="Z1326" s="513">
        <v>75000</v>
      </c>
      <c r="AA1326" s="556">
        <v>75000</v>
      </c>
      <c r="AB1326" s="445">
        <v>70000</v>
      </c>
      <c r="AC1326" s="445">
        <v>70000</v>
      </c>
      <c r="AD1326" s="445">
        <v>70000</v>
      </c>
      <c r="AE1326" s="445">
        <v>70000</v>
      </c>
      <c r="AF1326" s="445">
        <v>70000</v>
      </c>
      <c r="AG1326" s="2" t="s">
        <v>11</v>
      </c>
      <c r="AH1326" s="430"/>
      <c r="AI1326" s="430"/>
      <c r="AJ1326" s="430"/>
      <c r="AK1326" s="430"/>
      <c r="AL1326" s="430"/>
      <c r="AM1326" s="430"/>
      <c r="AN1326" s="430"/>
      <c r="AO1326" s="430"/>
      <c r="AP1326" s="430"/>
      <c r="AQ1326" s="424"/>
      <c r="AR1326" s="424"/>
      <c r="AS1326" s="2"/>
      <c r="AT1326" s="2"/>
    </row>
    <row r="1327" spans="1:46" s="446" customFormat="1" x14ac:dyDescent="0.25">
      <c r="A1327" s="400" t="s">
        <v>1234</v>
      </c>
      <c r="B1327" s="26"/>
      <c r="C1327" s="444"/>
      <c r="D1327" s="54"/>
      <c r="E1327" s="387" t="s">
        <v>12</v>
      </c>
      <c r="F1327" s="35"/>
      <c r="G1327" s="35" t="s">
        <v>1174</v>
      </c>
      <c r="H1327" s="146" t="s">
        <v>1105</v>
      </c>
      <c r="I1327" s="35"/>
      <c r="J1327" s="17" t="s">
        <v>2</v>
      </c>
      <c r="K1327" s="447">
        <v>176875.69</v>
      </c>
      <c r="L1327" s="11"/>
      <c r="M1327" s="11"/>
      <c r="N1327" s="11"/>
      <c r="O1327" s="11"/>
      <c r="P1327" s="4"/>
      <c r="Q1327" s="453"/>
      <c r="R1327" s="453"/>
      <c r="S1327" s="453"/>
      <c r="T1327" s="453"/>
      <c r="U1327" s="445"/>
      <c r="V1327" s="448"/>
      <c r="W1327" s="445">
        <f>16600.69+17075</f>
        <v>33675.69</v>
      </c>
      <c r="X1327" s="445">
        <f>15200+15200</f>
        <v>30400</v>
      </c>
      <c r="Y1327" s="445">
        <f>13325+13325</f>
        <v>26650</v>
      </c>
      <c r="Z1327" s="513">
        <f>11450+11450</f>
        <v>22900</v>
      </c>
      <c r="AA1327" s="556">
        <f>9575+9575</f>
        <v>19150</v>
      </c>
      <c r="AB1327" s="445">
        <f>7700+7700</f>
        <v>15400</v>
      </c>
      <c r="AC1327" s="445">
        <f>5950+5950</f>
        <v>11900</v>
      </c>
      <c r="AD1327" s="445">
        <f>4200+4200</f>
        <v>8400</v>
      </c>
      <c r="AE1327" s="445">
        <f>2800+2800</f>
        <v>5600</v>
      </c>
      <c r="AF1327" s="445">
        <f>1400+1400</f>
        <v>2800</v>
      </c>
      <c r="AG1327" s="17" t="s">
        <v>11</v>
      </c>
      <c r="AH1327" s="458"/>
      <c r="AI1327" s="458"/>
      <c r="AJ1327" s="430"/>
      <c r="AK1327" s="430"/>
      <c r="AL1327" s="430"/>
      <c r="AM1327" s="430"/>
      <c r="AN1327" s="430"/>
      <c r="AO1327" s="430"/>
      <c r="AP1327" s="430"/>
      <c r="AQ1327" s="418"/>
      <c r="AR1327" s="418"/>
      <c r="AS1327" s="17"/>
      <c r="AT1327" s="17"/>
    </row>
    <row r="1328" spans="1:46" s="450" customFormat="1" ht="13.8" thickBot="1" x14ac:dyDescent="0.3">
      <c r="A1328" s="120"/>
      <c r="B1328" s="120"/>
      <c r="C1328" s="120"/>
      <c r="D1328" s="85"/>
      <c r="E1328" s="145" t="s">
        <v>160</v>
      </c>
      <c r="F1328" s="391" t="s">
        <v>409</v>
      </c>
      <c r="G1328" s="141" t="s">
        <v>1175</v>
      </c>
      <c r="H1328" s="145"/>
      <c r="I1328" s="125"/>
      <c r="J1328" s="450" t="s">
        <v>5</v>
      </c>
      <c r="K1328" s="451">
        <f>K1327+K1326</f>
        <v>901875.69</v>
      </c>
      <c r="L1328" s="43"/>
      <c r="M1328" s="43"/>
      <c r="N1328" s="43"/>
      <c r="O1328" s="43"/>
      <c r="P1328" s="43">
        <f>P1327+P1326</f>
        <v>0</v>
      </c>
      <c r="Q1328" s="414"/>
      <c r="R1328" s="43">
        <f>R1327+R1326</f>
        <v>0</v>
      </c>
      <c r="S1328" s="43">
        <f>S1327+S1326</f>
        <v>0</v>
      </c>
      <c r="T1328" s="43"/>
      <c r="U1328" s="43">
        <f>U1327+U1326</f>
        <v>0</v>
      </c>
      <c r="V1328" s="412"/>
      <c r="W1328" s="412">
        <f>W1327+W1326</f>
        <v>108675.69</v>
      </c>
      <c r="X1328" s="412">
        <f>X1327+X1326</f>
        <v>105400</v>
      </c>
      <c r="Y1328" s="412">
        <f>Y1327+Y1326</f>
        <v>101650</v>
      </c>
      <c r="Z1328" s="510">
        <f>Z1327+Z1326</f>
        <v>97900</v>
      </c>
      <c r="AA1328" s="553">
        <f>AA1327+AA1326</f>
        <v>94150</v>
      </c>
      <c r="AB1328" s="412">
        <f t="shared" ref="AB1328:AF1328" si="1065">AB1327+AB1326</f>
        <v>85400</v>
      </c>
      <c r="AC1328" s="412">
        <f t="shared" si="1065"/>
        <v>81900</v>
      </c>
      <c r="AD1328" s="412">
        <f t="shared" si="1065"/>
        <v>78400</v>
      </c>
      <c r="AE1328" s="412">
        <f t="shared" si="1065"/>
        <v>75600</v>
      </c>
      <c r="AF1328" s="412">
        <f t="shared" si="1065"/>
        <v>72800</v>
      </c>
      <c r="AG1328" s="41" t="s">
        <v>11</v>
      </c>
      <c r="AH1328" s="412"/>
      <c r="AI1328" s="412"/>
      <c r="AJ1328" s="412"/>
      <c r="AK1328" s="412"/>
      <c r="AL1328" s="411"/>
      <c r="AM1328" s="411"/>
      <c r="AN1328" s="411"/>
      <c r="AO1328" s="411"/>
      <c r="AP1328" s="411"/>
      <c r="AQ1328" s="411"/>
      <c r="AR1328" s="411"/>
      <c r="AS1328" s="41"/>
      <c r="AT1328" s="41"/>
    </row>
    <row r="1329" spans="1:46" s="446" customFormat="1" x14ac:dyDescent="0.25">
      <c r="A1329" s="380" t="s">
        <v>102</v>
      </c>
      <c r="B1329" s="26" t="s">
        <v>96</v>
      </c>
      <c r="C1329" s="444"/>
      <c r="D1329" s="54" t="s">
        <v>3</v>
      </c>
      <c r="E1329" s="389">
        <v>44657</v>
      </c>
      <c r="F1329" s="456" t="s">
        <v>266</v>
      </c>
      <c r="G1329" s="314" t="s">
        <v>1176</v>
      </c>
      <c r="H1329" s="428">
        <v>31650153</v>
      </c>
      <c r="I1329" s="314">
        <v>585116</v>
      </c>
      <c r="J1329" s="2" t="s">
        <v>1</v>
      </c>
      <c r="K1329" s="27">
        <v>110000</v>
      </c>
      <c r="L1329" s="4"/>
      <c r="M1329" s="4"/>
      <c r="N1329" s="4"/>
      <c r="O1329" s="4"/>
      <c r="P1329" s="4"/>
      <c r="Q1329" s="453"/>
      <c r="R1329" s="453"/>
      <c r="S1329" s="453"/>
      <c r="T1329" s="453"/>
      <c r="U1329" s="445"/>
      <c r="V1329" s="419"/>
      <c r="W1329" s="445">
        <v>15000</v>
      </c>
      <c r="X1329" s="445">
        <v>15000</v>
      </c>
      <c r="Y1329" s="445">
        <v>15000</v>
      </c>
      <c r="Z1329" s="513">
        <v>15000</v>
      </c>
      <c r="AA1329" s="556">
        <v>10000</v>
      </c>
      <c r="AB1329" s="445">
        <v>10000</v>
      </c>
      <c r="AC1329" s="445">
        <v>10000</v>
      </c>
      <c r="AD1329" s="445">
        <v>10000</v>
      </c>
      <c r="AE1329" s="445">
        <v>10000</v>
      </c>
      <c r="AF1329" s="2" t="s">
        <v>11</v>
      </c>
      <c r="AG1329" s="430"/>
      <c r="AH1329" s="430"/>
      <c r="AI1329" s="430"/>
      <c r="AJ1329" s="430"/>
      <c r="AK1329" s="430"/>
      <c r="AL1329" s="430"/>
      <c r="AM1329" s="430"/>
      <c r="AN1329" s="430"/>
      <c r="AO1329" s="430"/>
      <c r="AP1329" s="430"/>
      <c r="AQ1329" s="424"/>
      <c r="AR1329" s="424"/>
      <c r="AS1329" s="2"/>
      <c r="AT1329" s="2"/>
    </row>
    <row r="1330" spans="1:46" s="446" customFormat="1" x14ac:dyDescent="0.25">
      <c r="A1330" s="400" t="s">
        <v>1235</v>
      </c>
      <c r="B1330" s="26"/>
      <c r="C1330" s="444"/>
      <c r="D1330" s="54"/>
      <c r="E1330" s="387" t="s">
        <v>12</v>
      </c>
      <c r="F1330" s="35"/>
      <c r="G1330" s="35" t="s">
        <v>1177</v>
      </c>
      <c r="H1330" s="146" t="s">
        <v>1178</v>
      </c>
      <c r="I1330" s="35"/>
      <c r="J1330" s="17" t="s">
        <v>2</v>
      </c>
      <c r="K1330" s="447">
        <v>23226.39</v>
      </c>
      <c r="L1330" s="11"/>
      <c r="M1330" s="11"/>
      <c r="N1330" s="11"/>
      <c r="O1330" s="11"/>
      <c r="P1330" s="4"/>
      <c r="Q1330" s="453"/>
      <c r="R1330" s="453"/>
      <c r="S1330" s="453"/>
      <c r="T1330" s="453"/>
      <c r="U1330" s="445"/>
      <c r="V1330" s="448"/>
      <c r="W1330" s="445">
        <f>2576.39+2650</f>
        <v>5226.3899999999994</v>
      </c>
      <c r="X1330" s="445">
        <f>2275+2275</f>
        <v>4550</v>
      </c>
      <c r="Y1330" s="445">
        <f>1900+1900</f>
        <v>3800</v>
      </c>
      <c r="Z1330" s="513">
        <f>1525+1525</f>
        <v>3050</v>
      </c>
      <c r="AA1330" s="556">
        <f>1150+1150</f>
        <v>2300</v>
      </c>
      <c r="AB1330" s="445">
        <f>900+900</f>
        <v>1800</v>
      </c>
      <c r="AC1330" s="445">
        <f>650+650</f>
        <v>1300</v>
      </c>
      <c r="AD1330" s="445">
        <f>400+400</f>
        <v>800</v>
      </c>
      <c r="AE1330" s="445">
        <f>200+200</f>
        <v>400</v>
      </c>
      <c r="AF1330" s="17" t="s">
        <v>11</v>
      </c>
      <c r="AG1330" s="458"/>
      <c r="AH1330" s="458"/>
      <c r="AI1330" s="458"/>
      <c r="AJ1330" s="430"/>
      <c r="AK1330" s="430"/>
      <c r="AL1330" s="430"/>
      <c r="AM1330" s="430"/>
      <c r="AN1330" s="430"/>
      <c r="AO1330" s="430"/>
      <c r="AP1330" s="430"/>
      <c r="AQ1330" s="418"/>
      <c r="AR1330" s="418"/>
      <c r="AS1330" s="17"/>
      <c r="AT1330" s="17"/>
    </row>
    <row r="1331" spans="1:46" s="450" customFormat="1" ht="13.8" thickBot="1" x14ac:dyDescent="0.3">
      <c r="A1331" s="120"/>
      <c r="B1331" s="120"/>
      <c r="C1331" s="120"/>
      <c r="D1331" s="85"/>
      <c r="E1331" s="145" t="s">
        <v>160</v>
      </c>
      <c r="F1331" s="391" t="s">
        <v>412</v>
      </c>
      <c r="G1331" s="141" t="s">
        <v>1143</v>
      </c>
      <c r="H1331" s="145"/>
      <c r="I1331" s="125"/>
      <c r="J1331" s="450" t="s">
        <v>5</v>
      </c>
      <c r="K1331" s="451">
        <f>K1330+K1329</f>
        <v>133226.39000000001</v>
      </c>
      <c r="L1331" s="43"/>
      <c r="M1331" s="43"/>
      <c r="N1331" s="43"/>
      <c r="O1331" s="43"/>
      <c r="P1331" s="43">
        <f>P1330+P1329</f>
        <v>0</v>
      </c>
      <c r="Q1331" s="414"/>
      <c r="R1331" s="43">
        <f>R1330+R1329</f>
        <v>0</v>
      </c>
      <c r="S1331" s="43">
        <f>S1330+S1329</f>
        <v>0</v>
      </c>
      <c r="T1331" s="43"/>
      <c r="U1331" s="43">
        <f>U1330+U1329</f>
        <v>0</v>
      </c>
      <c r="V1331" s="412"/>
      <c r="W1331" s="412">
        <f>W1330+W1329</f>
        <v>20226.39</v>
      </c>
      <c r="X1331" s="412">
        <f>X1330+X1329</f>
        <v>19550</v>
      </c>
      <c r="Y1331" s="412">
        <f>Y1330+Y1329</f>
        <v>18800</v>
      </c>
      <c r="Z1331" s="510">
        <f>Z1330+Z1329</f>
        <v>18050</v>
      </c>
      <c r="AA1331" s="553">
        <f>AA1330+AA1329</f>
        <v>12300</v>
      </c>
      <c r="AB1331" s="412">
        <f t="shared" ref="AB1331:AE1331" si="1066">AB1330+AB1329</f>
        <v>11800</v>
      </c>
      <c r="AC1331" s="412">
        <f t="shared" si="1066"/>
        <v>11300</v>
      </c>
      <c r="AD1331" s="412">
        <f t="shared" si="1066"/>
        <v>10800</v>
      </c>
      <c r="AE1331" s="412">
        <f t="shared" si="1066"/>
        <v>10400</v>
      </c>
      <c r="AF1331" s="41" t="s">
        <v>11</v>
      </c>
      <c r="AG1331" s="412"/>
      <c r="AH1331" s="412"/>
      <c r="AI1331" s="412"/>
      <c r="AJ1331" s="412"/>
      <c r="AK1331" s="412"/>
      <c r="AL1331" s="411"/>
      <c r="AM1331" s="411"/>
      <c r="AN1331" s="411"/>
      <c r="AO1331" s="411"/>
      <c r="AP1331" s="411"/>
      <c r="AQ1331" s="411"/>
      <c r="AR1331" s="411"/>
      <c r="AS1331" s="41"/>
      <c r="AT1331" s="41"/>
    </row>
    <row r="1332" spans="1:46" s="446" customFormat="1" x14ac:dyDescent="0.25">
      <c r="A1332" s="380" t="s">
        <v>102</v>
      </c>
      <c r="B1332" s="26" t="s">
        <v>96</v>
      </c>
      <c r="C1332" s="444"/>
      <c r="D1332" s="54" t="s">
        <v>3</v>
      </c>
      <c r="E1332" s="389">
        <v>44657</v>
      </c>
      <c r="F1332" s="456" t="s">
        <v>266</v>
      </c>
      <c r="G1332" s="314" t="s">
        <v>1179</v>
      </c>
      <c r="H1332" s="428">
        <v>31210153</v>
      </c>
      <c r="I1332" s="314">
        <v>585002</v>
      </c>
      <c r="J1332" s="2" t="s">
        <v>1</v>
      </c>
      <c r="K1332" s="27">
        <v>325000</v>
      </c>
      <c r="L1332" s="4"/>
      <c r="M1332" s="4"/>
      <c r="N1332" s="4"/>
      <c r="O1332" s="4"/>
      <c r="P1332" s="4"/>
      <c r="Q1332" s="453"/>
      <c r="R1332" s="453"/>
      <c r="S1332" s="453"/>
      <c r="T1332" s="453"/>
      <c r="U1332" s="445"/>
      <c r="V1332" s="419"/>
      <c r="W1332" s="445">
        <v>65000</v>
      </c>
      <c r="X1332" s="445">
        <v>65000</v>
      </c>
      <c r="Y1332" s="445">
        <v>65000</v>
      </c>
      <c r="Z1332" s="513">
        <v>65000</v>
      </c>
      <c r="AA1332" s="556">
        <v>65000</v>
      </c>
      <c r="AB1332" s="2" t="s">
        <v>11</v>
      </c>
      <c r="AC1332" s="458"/>
      <c r="AD1332" s="458"/>
      <c r="AE1332" s="458"/>
      <c r="AF1332" s="458"/>
      <c r="AG1332" s="458"/>
      <c r="AH1332" s="458"/>
      <c r="AI1332" s="458"/>
      <c r="AJ1332" s="419"/>
      <c r="AK1332" s="419"/>
      <c r="AL1332" s="419"/>
      <c r="AM1332" s="424"/>
      <c r="AN1332" s="424"/>
      <c r="AO1332" s="424"/>
      <c r="AP1332" s="424"/>
      <c r="AQ1332" s="424"/>
      <c r="AR1332" s="424"/>
      <c r="AS1332" s="2"/>
      <c r="AT1332" s="2"/>
    </row>
    <row r="1333" spans="1:46" s="446" customFormat="1" x14ac:dyDescent="0.25">
      <c r="A1333" s="400" t="s">
        <v>1236</v>
      </c>
      <c r="B1333" s="26"/>
      <c r="C1333" s="444"/>
      <c r="D1333" s="54"/>
      <c r="E1333" s="387" t="s">
        <v>12</v>
      </c>
      <c r="F1333" s="35"/>
      <c r="G1333" s="35" t="s">
        <v>1180</v>
      </c>
      <c r="H1333" s="146" t="s">
        <v>1106</v>
      </c>
      <c r="I1333" s="35"/>
      <c r="J1333" s="17" t="s">
        <v>2</v>
      </c>
      <c r="K1333" s="447">
        <v>48524.31</v>
      </c>
      <c r="L1333" s="11"/>
      <c r="M1333" s="11"/>
      <c r="N1333" s="11"/>
      <c r="O1333" s="11"/>
      <c r="P1333" s="4"/>
      <c r="Q1333" s="453"/>
      <c r="R1333" s="453"/>
      <c r="S1333" s="453"/>
      <c r="T1333" s="453"/>
      <c r="U1333" s="445"/>
      <c r="V1333" s="448"/>
      <c r="W1333" s="445">
        <f>7899.31+8125</f>
        <v>16024.310000000001</v>
      </c>
      <c r="X1333" s="445">
        <f>6500+6500</f>
        <v>13000</v>
      </c>
      <c r="Y1333" s="445">
        <f>4875+4875</f>
        <v>9750</v>
      </c>
      <c r="Z1333" s="513">
        <f>3250+3250</f>
        <v>6500</v>
      </c>
      <c r="AA1333" s="556">
        <f>1625+1625</f>
        <v>3250</v>
      </c>
      <c r="AB1333" s="17" t="s">
        <v>11</v>
      </c>
      <c r="AC1333" s="458"/>
      <c r="AD1333" s="458"/>
      <c r="AE1333" s="458"/>
      <c r="AF1333" s="458"/>
      <c r="AG1333" s="458"/>
      <c r="AH1333" s="458"/>
      <c r="AI1333" s="458"/>
      <c r="AJ1333" s="419"/>
      <c r="AK1333" s="419"/>
      <c r="AL1333" s="419"/>
      <c r="AM1333" s="418"/>
      <c r="AN1333" s="418"/>
      <c r="AO1333" s="418"/>
      <c r="AP1333" s="418"/>
      <c r="AQ1333" s="418"/>
      <c r="AR1333" s="418"/>
      <c r="AS1333" s="17"/>
      <c r="AT1333" s="17"/>
    </row>
    <row r="1334" spans="1:46" s="450" customFormat="1" ht="13.8" thickBot="1" x14ac:dyDescent="0.3">
      <c r="A1334" s="120"/>
      <c r="B1334" s="120"/>
      <c r="C1334" s="120"/>
      <c r="D1334" s="85"/>
      <c r="E1334" s="145" t="s">
        <v>160</v>
      </c>
      <c r="F1334" s="391" t="s">
        <v>409</v>
      </c>
      <c r="G1334" s="141" t="s">
        <v>1165</v>
      </c>
      <c r="H1334" s="145"/>
      <c r="I1334" s="125"/>
      <c r="J1334" s="450" t="s">
        <v>5</v>
      </c>
      <c r="K1334" s="451">
        <f>K1333+K1332</f>
        <v>373524.31</v>
      </c>
      <c r="L1334" s="43"/>
      <c r="M1334" s="43"/>
      <c r="N1334" s="43"/>
      <c r="O1334" s="43"/>
      <c r="P1334" s="43">
        <f>P1333+P1332</f>
        <v>0</v>
      </c>
      <c r="Q1334" s="414"/>
      <c r="R1334" s="43">
        <f>R1333+R1332</f>
        <v>0</v>
      </c>
      <c r="S1334" s="43">
        <f>S1333+S1332</f>
        <v>0</v>
      </c>
      <c r="T1334" s="43"/>
      <c r="U1334" s="43">
        <f>U1333+U1332</f>
        <v>0</v>
      </c>
      <c r="V1334" s="412"/>
      <c r="W1334" s="412">
        <f>W1333+W1332</f>
        <v>81024.31</v>
      </c>
      <c r="X1334" s="412">
        <f>X1333+X1332</f>
        <v>78000</v>
      </c>
      <c r="Y1334" s="412">
        <f>Y1333+Y1332</f>
        <v>74750</v>
      </c>
      <c r="Z1334" s="510">
        <f>Z1333+Z1332</f>
        <v>71500</v>
      </c>
      <c r="AA1334" s="553">
        <f>AA1333+AA1332</f>
        <v>68250</v>
      </c>
      <c r="AB1334" s="41" t="s">
        <v>11</v>
      </c>
      <c r="AC1334" s="412"/>
      <c r="AD1334" s="412"/>
      <c r="AE1334" s="412"/>
      <c r="AF1334" s="412"/>
      <c r="AG1334" s="412"/>
      <c r="AH1334" s="412"/>
      <c r="AI1334" s="412"/>
      <c r="AJ1334" s="412"/>
      <c r="AK1334" s="412"/>
      <c r="AL1334" s="412"/>
      <c r="AM1334" s="411"/>
      <c r="AN1334" s="411"/>
      <c r="AO1334" s="411"/>
      <c r="AP1334" s="411"/>
      <c r="AQ1334" s="411"/>
      <c r="AR1334" s="411"/>
      <c r="AS1334" s="41"/>
      <c r="AT1334" s="41"/>
    </row>
    <row r="1335" spans="1:46" s="446" customFormat="1" x14ac:dyDescent="0.25">
      <c r="A1335" s="380" t="s">
        <v>95</v>
      </c>
      <c r="B1335" s="26" t="s">
        <v>96</v>
      </c>
      <c r="C1335" s="444"/>
      <c r="D1335" s="54" t="s">
        <v>3</v>
      </c>
      <c r="E1335" s="389">
        <v>44657</v>
      </c>
      <c r="F1335" s="456" t="s">
        <v>266</v>
      </c>
      <c r="G1335" s="318" t="s">
        <v>1181</v>
      </c>
      <c r="H1335" s="429">
        <v>31300153</v>
      </c>
      <c r="I1335" s="318">
        <v>582033</v>
      </c>
      <c r="J1335" s="2" t="s">
        <v>1</v>
      </c>
      <c r="K1335" s="27">
        <v>25000</v>
      </c>
      <c r="L1335" s="4"/>
      <c r="M1335" s="4"/>
      <c r="N1335" s="4"/>
      <c r="O1335" s="4"/>
      <c r="P1335" s="4"/>
      <c r="Q1335" s="453"/>
      <c r="R1335" s="453"/>
      <c r="S1335" s="453"/>
      <c r="T1335" s="453"/>
      <c r="U1335" s="445"/>
      <c r="V1335" s="419"/>
      <c r="W1335" s="445">
        <v>10000</v>
      </c>
      <c r="X1335" s="445">
        <v>10000</v>
      </c>
      <c r="Y1335" s="445">
        <v>5000</v>
      </c>
      <c r="Z1335" s="490" t="s">
        <v>11</v>
      </c>
      <c r="AA1335" s="556"/>
      <c r="AB1335" s="458"/>
      <c r="AC1335" s="458"/>
      <c r="AD1335" s="458"/>
      <c r="AE1335" s="458"/>
      <c r="AF1335" s="458"/>
      <c r="AG1335" s="458"/>
      <c r="AH1335" s="458"/>
      <c r="AI1335" s="458"/>
      <c r="AJ1335" s="419"/>
      <c r="AK1335" s="419"/>
      <c r="AL1335" s="419"/>
      <c r="AM1335" s="424"/>
      <c r="AN1335" s="424"/>
      <c r="AO1335" s="424"/>
      <c r="AP1335" s="424"/>
      <c r="AQ1335" s="424"/>
      <c r="AR1335" s="424"/>
      <c r="AS1335" s="2"/>
      <c r="AT1335" s="2"/>
    </row>
    <row r="1336" spans="1:46" s="446" customFormat="1" x14ac:dyDescent="0.25">
      <c r="A1336" s="400" t="s">
        <v>1218</v>
      </c>
      <c r="B1336" s="26"/>
      <c r="C1336" s="444"/>
      <c r="D1336" s="54"/>
      <c r="E1336" s="387" t="s">
        <v>12</v>
      </c>
      <c r="F1336" s="35"/>
      <c r="G1336" s="35" t="s">
        <v>1182</v>
      </c>
      <c r="H1336" s="146" t="s">
        <v>1110</v>
      </c>
      <c r="I1336" s="35"/>
      <c r="J1336" s="17" t="s">
        <v>2</v>
      </c>
      <c r="K1336" s="447">
        <v>2232.64</v>
      </c>
      <c r="L1336" s="11"/>
      <c r="M1336" s="11"/>
      <c r="N1336" s="11"/>
      <c r="O1336" s="11"/>
      <c r="P1336" s="4"/>
      <c r="Q1336" s="453"/>
      <c r="R1336" s="453"/>
      <c r="S1336" s="453"/>
      <c r="T1336" s="453"/>
      <c r="U1336" s="445"/>
      <c r="V1336" s="448"/>
      <c r="W1336" s="445">
        <f>607.64+625</f>
        <v>1232.6399999999999</v>
      </c>
      <c r="X1336" s="445">
        <f>375+375</f>
        <v>750</v>
      </c>
      <c r="Y1336" s="445">
        <f>125+125</f>
        <v>250</v>
      </c>
      <c r="Z1336" s="491" t="s">
        <v>11</v>
      </c>
      <c r="AA1336" s="556"/>
      <c r="AB1336" s="458"/>
      <c r="AC1336" s="458"/>
      <c r="AD1336" s="458"/>
      <c r="AE1336" s="458"/>
      <c r="AF1336" s="458"/>
      <c r="AG1336" s="458"/>
      <c r="AH1336" s="458"/>
      <c r="AI1336" s="458"/>
      <c r="AJ1336" s="419"/>
      <c r="AK1336" s="419"/>
      <c r="AL1336" s="419"/>
      <c r="AM1336" s="418"/>
      <c r="AN1336" s="418"/>
      <c r="AO1336" s="418"/>
      <c r="AP1336" s="418"/>
      <c r="AQ1336" s="418"/>
      <c r="AR1336" s="418"/>
      <c r="AS1336" s="17"/>
      <c r="AT1336" s="17"/>
    </row>
    <row r="1337" spans="1:46" s="450" customFormat="1" ht="13.8" thickBot="1" x14ac:dyDescent="0.3">
      <c r="A1337" s="120"/>
      <c r="B1337" s="120"/>
      <c r="C1337" s="120"/>
      <c r="D1337" s="85"/>
      <c r="E1337" s="390" t="s">
        <v>1183</v>
      </c>
      <c r="F1337" s="86" t="s">
        <v>408</v>
      </c>
      <c r="G1337" s="460"/>
      <c r="H1337" s="145"/>
      <c r="I1337" s="125"/>
      <c r="J1337" s="450" t="s">
        <v>5</v>
      </c>
      <c r="K1337" s="451">
        <f>K1336+K1335</f>
        <v>27232.639999999999</v>
      </c>
      <c r="L1337" s="43"/>
      <c r="M1337" s="43"/>
      <c r="N1337" s="43"/>
      <c r="O1337" s="43"/>
      <c r="P1337" s="43">
        <f>P1336+P1335</f>
        <v>0</v>
      </c>
      <c r="Q1337" s="414"/>
      <c r="R1337" s="43">
        <f>R1336+R1335</f>
        <v>0</v>
      </c>
      <c r="S1337" s="43">
        <f>S1336+S1335</f>
        <v>0</v>
      </c>
      <c r="T1337" s="43"/>
      <c r="U1337" s="43">
        <f>U1336+U1335</f>
        <v>0</v>
      </c>
      <c r="V1337" s="412"/>
      <c r="W1337" s="412">
        <f>W1336+W1335</f>
        <v>11232.64</v>
      </c>
      <c r="X1337" s="412">
        <f>X1336+X1335</f>
        <v>10750</v>
      </c>
      <c r="Y1337" s="412">
        <f>Y1336+Y1335</f>
        <v>5250</v>
      </c>
      <c r="Z1337" s="492" t="s">
        <v>11</v>
      </c>
      <c r="AA1337" s="553"/>
      <c r="AB1337" s="412"/>
      <c r="AC1337" s="412"/>
      <c r="AD1337" s="412"/>
      <c r="AE1337" s="412"/>
      <c r="AF1337" s="412"/>
      <c r="AG1337" s="412"/>
      <c r="AH1337" s="412"/>
      <c r="AI1337" s="412"/>
      <c r="AJ1337" s="412"/>
      <c r="AK1337" s="412"/>
      <c r="AL1337" s="412"/>
      <c r="AM1337" s="411"/>
      <c r="AN1337" s="411"/>
      <c r="AO1337" s="411"/>
      <c r="AP1337" s="411"/>
      <c r="AQ1337" s="411"/>
      <c r="AR1337" s="411"/>
      <c r="AS1337" s="41"/>
      <c r="AT1337" s="41"/>
    </row>
    <row r="1338" spans="1:46" s="446" customFormat="1" x14ac:dyDescent="0.25">
      <c r="A1338" s="380" t="s">
        <v>95</v>
      </c>
      <c r="B1338" s="26" t="s">
        <v>96</v>
      </c>
      <c r="C1338" s="444"/>
      <c r="D1338" s="54" t="s">
        <v>3</v>
      </c>
      <c r="E1338" s="389">
        <v>44657</v>
      </c>
      <c r="F1338" s="456" t="s">
        <v>266</v>
      </c>
      <c r="G1338" s="318" t="s">
        <v>1184</v>
      </c>
      <c r="H1338" s="429">
        <v>31300153</v>
      </c>
      <c r="I1338" s="318">
        <v>582032</v>
      </c>
      <c r="J1338" s="2" t="s">
        <v>1</v>
      </c>
      <c r="K1338" s="27">
        <v>95000</v>
      </c>
      <c r="L1338" s="4"/>
      <c r="M1338" s="4"/>
      <c r="N1338" s="4"/>
      <c r="O1338" s="4"/>
      <c r="P1338" s="4"/>
      <c r="Q1338" s="453"/>
      <c r="R1338" s="453"/>
      <c r="S1338" s="453"/>
      <c r="T1338" s="453"/>
      <c r="U1338" s="445"/>
      <c r="V1338" s="419"/>
      <c r="W1338" s="445">
        <v>20000</v>
      </c>
      <c r="X1338" s="445">
        <v>20000</v>
      </c>
      <c r="Y1338" s="445">
        <v>20000</v>
      </c>
      <c r="Z1338" s="513">
        <v>20000</v>
      </c>
      <c r="AA1338" s="556">
        <v>15000</v>
      </c>
      <c r="AB1338" s="2" t="s">
        <v>11</v>
      </c>
      <c r="AC1338" s="445"/>
      <c r="AD1338" s="445"/>
      <c r="AE1338" s="445"/>
      <c r="AF1338" s="445"/>
      <c r="AG1338" s="458"/>
      <c r="AH1338" s="458"/>
      <c r="AI1338" s="458"/>
      <c r="AJ1338" s="419"/>
      <c r="AK1338" s="419"/>
      <c r="AL1338" s="419"/>
      <c r="AM1338" s="424"/>
      <c r="AN1338" s="424"/>
      <c r="AO1338" s="424"/>
      <c r="AP1338" s="424"/>
      <c r="AQ1338" s="424"/>
      <c r="AR1338" s="424"/>
      <c r="AS1338" s="2"/>
      <c r="AT1338" s="2"/>
    </row>
    <row r="1339" spans="1:46" s="446" customFormat="1" x14ac:dyDescent="0.25">
      <c r="A1339" s="400" t="s">
        <v>1219</v>
      </c>
      <c r="B1339" s="26"/>
      <c r="C1339" s="444"/>
      <c r="D1339" s="54"/>
      <c r="E1339" s="387" t="s">
        <v>12</v>
      </c>
      <c r="F1339" s="35"/>
      <c r="G1339" s="35" t="s">
        <v>1185</v>
      </c>
      <c r="H1339" s="146" t="s">
        <v>1106</v>
      </c>
      <c r="I1339" s="35"/>
      <c r="J1339" s="17" t="s">
        <v>2</v>
      </c>
      <c r="K1339" s="447">
        <v>13684.03</v>
      </c>
      <c r="L1339" s="11"/>
      <c r="M1339" s="11"/>
      <c r="N1339" s="11"/>
      <c r="O1339" s="11"/>
      <c r="P1339" s="4"/>
      <c r="Q1339" s="453"/>
      <c r="R1339" s="453"/>
      <c r="S1339" s="453"/>
      <c r="T1339" s="453"/>
      <c r="U1339" s="445"/>
      <c r="V1339" s="448"/>
      <c r="W1339" s="445">
        <f>2309.03+2375</f>
        <v>4684.0300000000007</v>
      </c>
      <c r="X1339" s="445">
        <f>1875+1875</f>
        <v>3750</v>
      </c>
      <c r="Y1339" s="445">
        <f>1375+1375</f>
        <v>2750</v>
      </c>
      <c r="Z1339" s="513">
        <f>875+875</f>
        <v>1750</v>
      </c>
      <c r="AA1339" s="556">
        <f>375+375</f>
        <v>750</v>
      </c>
      <c r="AB1339" s="17" t="s">
        <v>11</v>
      </c>
      <c r="AC1339" s="445"/>
      <c r="AD1339" s="445"/>
      <c r="AE1339" s="445"/>
      <c r="AF1339" s="445"/>
      <c r="AG1339" s="458"/>
      <c r="AH1339" s="458"/>
      <c r="AI1339" s="458"/>
      <c r="AJ1339" s="419"/>
      <c r="AK1339" s="419"/>
      <c r="AL1339" s="419"/>
      <c r="AM1339" s="418"/>
      <c r="AN1339" s="418"/>
      <c r="AO1339" s="418"/>
      <c r="AP1339" s="418"/>
      <c r="AQ1339" s="418"/>
      <c r="AR1339" s="418"/>
      <c r="AS1339" s="17"/>
      <c r="AT1339" s="17"/>
    </row>
    <row r="1340" spans="1:46" s="450" customFormat="1" ht="13.8" thickBot="1" x14ac:dyDescent="0.3">
      <c r="A1340" s="120"/>
      <c r="B1340" s="120"/>
      <c r="C1340" s="120"/>
      <c r="D1340" s="85"/>
      <c r="E1340" s="390" t="s">
        <v>1183</v>
      </c>
      <c r="F1340" s="86" t="s">
        <v>408</v>
      </c>
      <c r="G1340" s="141" t="s">
        <v>1186</v>
      </c>
      <c r="H1340" s="145"/>
      <c r="I1340" s="125"/>
      <c r="J1340" s="450" t="s">
        <v>5</v>
      </c>
      <c r="K1340" s="451">
        <f>K1339+K1338</f>
        <v>108684.03</v>
      </c>
      <c r="L1340" s="43"/>
      <c r="M1340" s="43"/>
      <c r="N1340" s="43"/>
      <c r="O1340" s="43"/>
      <c r="P1340" s="43">
        <f>P1339+P1338</f>
        <v>0</v>
      </c>
      <c r="Q1340" s="414"/>
      <c r="R1340" s="43">
        <f>R1339+R1338</f>
        <v>0</v>
      </c>
      <c r="S1340" s="43">
        <f>S1339+S1338</f>
        <v>0</v>
      </c>
      <c r="T1340" s="43"/>
      <c r="U1340" s="43">
        <f>U1339+U1338</f>
        <v>0</v>
      </c>
      <c r="V1340" s="412"/>
      <c r="W1340" s="412">
        <f t="shared" ref="W1340:AA1340" si="1067">W1339+W1338</f>
        <v>24684.03</v>
      </c>
      <c r="X1340" s="412">
        <f t="shared" si="1067"/>
        <v>23750</v>
      </c>
      <c r="Y1340" s="412">
        <f t="shared" si="1067"/>
        <v>22750</v>
      </c>
      <c r="Z1340" s="510">
        <f t="shared" si="1067"/>
        <v>21750</v>
      </c>
      <c r="AA1340" s="553">
        <f t="shared" si="1067"/>
        <v>15750</v>
      </c>
      <c r="AB1340" s="41" t="s">
        <v>11</v>
      </c>
      <c r="AC1340" s="412"/>
      <c r="AD1340" s="412"/>
      <c r="AE1340" s="412"/>
      <c r="AF1340" s="412"/>
      <c r="AG1340" s="412"/>
      <c r="AH1340" s="412"/>
      <c r="AI1340" s="412"/>
      <c r="AJ1340" s="412"/>
      <c r="AK1340" s="412"/>
      <c r="AL1340" s="412"/>
      <c r="AM1340" s="411"/>
      <c r="AN1340" s="411"/>
      <c r="AO1340" s="411"/>
      <c r="AP1340" s="411"/>
      <c r="AQ1340" s="411"/>
      <c r="AR1340" s="411"/>
      <c r="AS1340" s="41"/>
      <c r="AT1340" s="41"/>
    </row>
    <row r="1341" spans="1:46" s="446" customFormat="1" x14ac:dyDescent="0.25">
      <c r="A1341" s="380" t="s">
        <v>95</v>
      </c>
      <c r="B1341" s="26" t="s">
        <v>96</v>
      </c>
      <c r="C1341" s="444"/>
      <c r="D1341" s="54" t="s">
        <v>3</v>
      </c>
      <c r="E1341" s="389">
        <v>44657</v>
      </c>
      <c r="F1341" s="456" t="s">
        <v>266</v>
      </c>
      <c r="G1341" s="318" t="s">
        <v>1187</v>
      </c>
      <c r="H1341" s="429">
        <v>31300153</v>
      </c>
      <c r="I1341" s="318">
        <v>582008</v>
      </c>
      <c r="J1341" s="2" t="s">
        <v>1</v>
      </c>
      <c r="K1341" s="27">
        <v>95000</v>
      </c>
      <c r="L1341" s="4"/>
      <c r="M1341" s="4"/>
      <c r="N1341" s="4"/>
      <c r="O1341" s="4"/>
      <c r="P1341" s="4"/>
      <c r="Q1341" s="453"/>
      <c r="R1341" s="453"/>
      <c r="S1341" s="453"/>
      <c r="T1341" s="453"/>
      <c r="U1341" s="445"/>
      <c r="V1341" s="419"/>
      <c r="W1341" s="445">
        <v>10000</v>
      </c>
      <c r="X1341" s="445">
        <v>10000</v>
      </c>
      <c r="Y1341" s="445">
        <v>10000</v>
      </c>
      <c r="Z1341" s="513">
        <v>10000</v>
      </c>
      <c r="AA1341" s="556">
        <v>10000</v>
      </c>
      <c r="AB1341" s="445">
        <v>10000</v>
      </c>
      <c r="AC1341" s="445">
        <v>10000</v>
      </c>
      <c r="AD1341" s="445">
        <v>10000</v>
      </c>
      <c r="AE1341" s="445">
        <v>10000</v>
      </c>
      <c r="AF1341" s="445">
        <v>5000</v>
      </c>
      <c r="AG1341" s="2" t="s">
        <v>11</v>
      </c>
      <c r="AH1341" s="458"/>
      <c r="AI1341" s="458"/>
      <c r="AJ1341" s="419"/>
      <c r="AK1341" s="419"/>
      <c r="AL1341" s="419"/>
      <c r="AM1341" s="424"/>
      <c r="AN1341" s="424"/>
      <c r="AO1341" s="424"/>
      <c r="AP1341" s="424"/>
      <c r="AQ1341" s="424"/>
      <c r="AR1341" s="424"/>
      <c r="AS1341" s="2"/>
      <c r="AT1341" s="2"/>
    </row>
    <row r="1342" spans="1:46" s="446" customFormat="1" x14ac:dyDescent="0.25">
      <c r="A1342" s="400" t="s">
        <v>1220</v>
      </c>
      <c r="B1342" s="26"/>
      <c r="C1342" s="444"/>
      <c r="D1342" s="54"/>
      <c r="E1342" s="387" t="s">
        <v>12</v>
      </c>
      <c r="F1342" s="35"/>
      <c r="G1342" s="35" t="s">
        <v>1188</v>
      </c>
      <c r="H1342" s="146" t="s">
        <v>1105</v>
      </c>
      <c r="I1342" s="35"/>
      <c r="J1342" s="17" t="s">
        <v>2</v>
      </c>
      <c r="K1342" s="447">
        <v>22737.5</v>
      </c>
      <c r="L1342" s="11"/>
      <c r="M1342" s="11"/>
      <c r="N1342" s="11"/>
      <c r="O1342" s="11"/>
      <c r="P1342" s="4"/>
      <c r="Q1342" s="453"/>
      <c r="R1342" s="453"/>
      <c r="S1342" s="453"/>
      <c r="T1342" s="453"/>
      <c r="U1342" s="445"/>
      <c r="V1342" s="448"/>
      <c r="W1342" s="445">
        <f>2187.5+2250</f>
        <v>4437.5</v>
      </c>
      <c r="X1342" s="445">
        <f>2000+2000</f>
        <v>4000</v>
      </c>
      <c r="Y1342" s="445">
        <f>1750+1750</f>
        <v>3500</v>
      </c>
      <c r="Z1342" s="513">
        <f>1500+1500</f>
        <v>3000</v>
      </c>
      <c r="AA1342" s="556">
        <f>1250+1250</f>
        <v>2500</v>
      </c>
      <c r="AB1342" s="445">
        <f>1000+1000</f>
        <v>2000</v>
      </c>
      <c r="AC1342" s="445">
        <f>750+750</f>
        <v>1500</v>
      </c>
      <c r="AD1342" s="445">
        <f>500+500</f>
        <v>1000</v>
      </c>
      <c r="AE1342" s="445">
        <f>300+300</f>
        <v>600</v>
      </c>
      <c r="AF1342" s="445">
        <f>100+100</f>
        <v>200</v>
      </c>
      <c r="AG1342" s="17" t="s">
        <v>11</v>
      </c>
      <c r="AH1342" s="458"/>
      <c r="AI1342" s="458"/>
      <c r="AJ1342" s="419"/>
      <c r="AK1342" s="419"/>
      <c r="AL1342" s="419"/>
      <c r="AM1342" s="418"/>
      <c r="AN1342" s="418"/>
      <c r="AO1342" s="418"/>
      <c r="AP1342" s="418"/>
      <c r="AQ1342" s="418"/>
      <c r="AR1342" s="418"/>
      <c r="AS1342" s="17"/>
      <c r="AT1342" s="17"/>
    </row>
    <row r="1343" spans="1:46" s="450" customFormat="1" ht="13.8" thickBot="1" x14ac:dyDescent="0.3">
      <c r="A1343" s="120"/>
      <c r="B1343" s="120"/>
      <c r="C1343" s="120"/>
      <c r="D1343" s="85"/>
      <c r="E1343" s="390" t="s">
        <v>1183</v>
      </c>
      <c r="F1343" s="86" t="s">
        <v>408</v>
      </c>
      <c r="G1343" s="141" t="s">
        <v>1186</v>
      </c>
      <c r="H1343" s="145"/>
      <c r="I1343" s="125"/>
      <c r="J1343" s="450" t="s">
        <v>5</v>
      </c>
      <c r="K1343" s="451">
        <f>K1342+K1341</f>
        <v>117737.5</v>
      </c>
      <c r="L1343" s="43"/>
      <c r="M1343" s="43"/>
      <c r="N1343" s="43"/>
      <c r="O1343" s="43"/>
      <c r="P1343" s="43">
        <f>P1342+P1341</f>
        <v>0</v>
      </c>
      <c r="Q1343" s="414"/>
      <c r="R1343" s="43">
        <f>R1342+R1341</f>
        <v>0</v>
      </c>
      <c r="S1343" s="43">
        <f>S1342+S1341</f>
        <v>0</v>
      </c>
      <c r="T1343" s="43"/>
      <c r="U1343" s="43">
        <f>U1342+U1341</f>
        <v>0</v>
      </c>
      <c r="V1343" s="412"/>
      <c r="W1343" s="412">
        <f t="shared" ref="W1343:AF1343" si="1068">W1342+W1341</f>
        <v>14437.5</v>
      </c>
      <c r="X1343" s="412">
        <f t="shared" si="1068"/>
        <v>14000</v>
      </c>
      <c r="Y1343" s="412">
        <f t="shared" si="1068"/>
        <v>13500</v>
      </c>
      <c r="Z1343" s="510">
        <f t="shared" si="1068"/>
        <v>13000</v>
      </c>
      <c r="AA1343" s="553">
        <f t="shared" si="1068"/>
        <v>12500</v>
      </c>
      <c r="AB1343" s="412">
        <f t="shared" si="1068"/>
        <v>12000</v>
      </c>
      <c r="AC1343" s="412">
        <f t="shared" si="1068"/>
        <v>11500</v>
      </c>
      <c r="AD1343" s="412">
        <f t="shared" si="1068"/>
        <v>11000</v>
      </c>
      <c r="AE1343" s="412">
        <f t="shared" si="1068"/>
        <v>10600</v>
      </c>
      <c r="AF1343" s="412">
        <f t="shared" si="1068"/>
        <v>5200</v>
      </c>
      <c r="AG1343" s="41" t="s">
        <v>11</v>
      </c>
      <c r="AH1343" s="412"/>
      <c r="AI1343" s="412"/>
      <c r="AJ1343" s="412"/>
      <c r="AK1343" s="412"/>
      <c r="AL1343" s="412"/>
      <c r="AM1343" s="411"/>
      <c r="AN1343" s="411"/>
      <c r="AO1343" s="411"/>
      <c r="AP1343" s="411"/>
      <c r="AQ1343" s="411"/>
      <c r="AR1343" s="411"/>
      <c r="AS1343" s="41"/>
      <c r="AT1343" s="41"/>
    </row>
    <row r="1344" spans="1:46" s="446" customFormat="1" x14ac:dyDescent="0.25">
      <c r="A1344" s="380" t="s">
        <v>95</v>
      </c>
      <c r="B1344" s="26" t="s">
        <v>96</v>
      </c>
      <c r="C1344" s="444"/>
      <c r="D1344" s="54" t="s">
        <v>3</v>
      </c>
      <c r="E1344" s="389">
        <v>44657</v>
      </c>
      <c r="F1344" s="456" t="s">
        <v>266</v>
      </c>
      <c r="G1344" s="318" t="s">
        <v>1189</v>
      </c>
      <c r="H1344" s="429">
        <v>31300153</v>
      </c>
      <c r="I1344" s="318">
        <v>582011</v>
      </c>
      <c r="J1344" s="2" t="s">
        <v>1</v>
      </c>
      <c r="K1344" s="27">
        <v>930000</v>
      </c>
      <c r="L1344" s="4"/>
      <c r="M1344" s="4"/>
      <c r="N1344" s="4"/>
      <c r="O1344" s="4"/>
      <c r="P1344" s="4"/>
      <c r="Q1344" s="453"/>
      <c r="R1344" s="453"/>
      <c r="S1344" s="453"/>
      <c r="T1344" s="453"/>
      <c r="U1344" s="445"/>
      <c r="V1344" s="419"/>
      <c r="W1344" s="445">
        <v>190000</v>
      </c>
      <c r="X1344" s="445">
        <v>185000</v>
      </c>
      <c r="Y1344" s="445">
        <v>185000</v>
      </c>
      <c r="Z1344" s="513">
        <v>185000</v>
      </c>
      <c r="AA1344" s="556">
        <v>185000</v>
      </c>
      <c r="AB1344" s="2" t="s">
        <v>11</v>
      </c>
      <c r="AC1344" s="430"/>
      <c r="AD1344" s="430"/>
      <c r="AE1344" s="430"/>
      <c r="AF1344" s="430"/>
      <c r="AG1344" s="430"/>
      <c r="AH1344" s="430"/>
      <c r="AI1344" s="430"/>
      <c r="AJ1344" s="430"/>
      <c r="AK1344" s="430"/>
      <c r="AL1344" s="419"/>
      <c r="AM1344" s="424"/>
      <c r="AN1344" s="424"/>
      <c r="AO1344" s="424"/>
      <c r="AP1344" s="424"/>
      <c r="AQ1344" s="424"/>
      <c r="AR1344" s="424"/>
      <c r="AS1344" s="2"/>
      <c r="AT1344" s="2"/>
    </row>
    <row r="1345" spans="1:46" s="446" customFormat="1" x14ac:dyDescent="0.25">
      <c r="A1345" s="400" t="s">
        <v>1221</v>
      </c>
      <c r="B1345" s="26"/>
      <c r="C1345" s="444"/>
      <c r="D1345" s="54"/>
      <c r="E1345" s="387" t="s">
        <v>12</v>
      </c>
      <c r="F1345" s="35"/>
      <c r="G1345" s="35" t="s">
        <v>1190</v>
      </c>
      <c r="H1345" s="146" t="s">
        <v>1106</v>
      </c>
      <c r="I1345" s="35"/>
      <c r="J1345" s="17" t="s">
        <v>2</v>
      </c>
      <c r="K1345" s="447">
        <v>138354.17000000001</v>
      </c>
      <c r="L1345" s="11"/>
      <c r="M1345" s="11"/>
      <c r="N1345" s="11"/>
      <c r="O1345" s="11"/>
      <c r="P1345" s="4"/>
      <c r="Q1345" s="453"/>
      <c r="R1345" s="453"/>
      <c r="S1345" s="453"/>
      <c r="T1345" s="453"/>
      <c r="U1345" s="445"/>
      <c r="V1345" s="448"/>
      <c r="W1345" s="445">
        <f>22604.17+23250</f>
        <v>45854.17</v>
      </c>
      <c r="X1345" s="445">
        <f>18500+18500</f>
        <v>37000</v>
      </c>
      <c r="Y1345" s="445">
        <f>13875+13875</f>
        <v>27750</v>
      </c>
      <c r="Z1345" s="513">
        <f>9250+9250</f>
        <v>18500</v>
      </c>
      <c r="AA1345" s="556">
        <f>4625+4625</f>
        <v>9250</v>
      </c>
      <c r="AB1345" s="17" t="s">
        <v>11</v>
      </c>
      <c r="AC1345" s="430"/>
      <c r="AD1345" s="430"/>
      <c r="AE1345" s="430"/>
      <c r="AF1345" s="430"/>
      <c r="AG1345" s="430"/>
      <c r="AH1345" s="430"/>
      <c r="AI1345" s="430"/>
      <c r="AJ1345" s="430"/>
      <c r="AK1345" s="430"/>
      <c r="AL1345" s="419"/>
      <c r="AM1345" s="418"/>
      <c r="AN1345" s="418"/>
      <c r="AO1345" s="418"/>
      <c r="AP1345" s="418"/>
      <c r="AQ1345" s="418"/>
      <c r="AR1345" s="418"/>
      <c r="AS1345" s="17"/>
      <c r="AT1345" s="17"/>
    </row>
    <row r="1346" spans="1:46" s="450" customFormat="1" ht="13.8" thickBot="1" x14ac:dyDescent="0.3">
      <c r="A1346" s="120"/>
      <c r="B1346" s="120"/>
      <c r="C1346" s="120"/>
      <c r="D1346" s="85"/>
      <c r="E1346" s="390" t="s">
        <v>1183</v>
      </c>
      <c r="F1346" s="86" t="s">
        <v>408</v>
      </c>
      <c r="G1346" s="141" t="s">
        <v>1175</v>
      </c>
      <c r="H1346" s="145"/>
      <c r="I1346" s="125"/>
      <c r="J1346" s="450" t="s">
        <v>5</v>
      </c>
      <c r="K1346" s="451">
        <f>K1345+K1344</f>
        <v>1068354.17</v>
      </c>
      <c r="L1346" s="43"/>
      <c r="M1346" s="43"/>
      <c r="N1346" s="43"/>
      <c r="O1346" s="43"/>
      <c r="P1346" s="43">
        <f>P1345+P1344</f>
        <v>0</v>
      </c>
      <c r="Q1346" s="414"/>
      <c r="R1346" s="43">
        <f>R1345+R1344</f>
        <v>0</v>
      </c>
      <c r="S1346" s="43">
        <f>S1345+S1344</f>
        <v>0</v>
      </c>
      <c r="T1346" s="43"/>
      <c r="U1346" s="43">
        <f>U1345+U1344</f>
        <v>0</v>
      </c>
      <c r="V1346" s="412"/>
      <c r="W1346" s="412">
        <f>W1345+W1344</f>
        <v>235854.16999999998</v>
      </c>
      <c r="X1346" s="412">
        <f>X1345+X1344</f>
        <v>222000</v>
      </c>
      <c r="Y1346" s="412">
        <f>Y1345+Y1344</f>
        <v>212750</v>
      </c>
      <c r="Z1346" s="510">
        <f>Z1345+Z1344</f>
        <v>203500</v>
      </c>
      <c r="AA1346" s="553">
        <f>AA1345+AA1344</f>
        <v>194250</v>
      </c>
      <c r="AB1346" s="41" t="s">
        <v>11</v>
      </c>
      <c r="AC1346" s="412"/>
      <c r="AD1346" s="412"/>
      <c r="AE1346" s="412"/>
      <c r="AF1346" s="412"/>
      <c r="AG1346" s="412"/>
      <c r="AH1346" s="412"/>
      <c r="AI1346" s="412"/>
      <c r="AJ1346" s="412"/>
      <c r="AK1346" s="412"/>
      <c r="AL1346" s="412"/>
      <c r="AM1346" s="411"/>
      <c r="AN1346" s="411"/>
      <c r="AO1346" s="411"/>
      <c r="AP1346" s="411"/>
      <c r="AQ1346" s="411"/>
      <c r="AR1346" s="411"/>
      <c r="AS1346" s="41"/>
      <c r="AT1346" s="41"/>
    </row>
    <row r="1347" spans="1:46" s="446" customFormat="1" x14ac:dyDescent="0.25">
      <c r="A1347" s="380" t="s">
        <v>102</v>
      </c>
      <c r="B1347" s="26" t="s">
        <v>96</v>
      </c>
      <c r="C1347" s="444"/>
      <c r="D1347" s="54" t="s">
        <v>3</v>
      </c>
      <c r="E1347" s="389">
        <v>44657</v>
      </c>
      <c r="F1347" s="456" t="s">
        <v>266</v>
      </c>
      <c r="G1347" s="314" t="s">
        <v>1128</v>
      </c>
      <c r="H1347" s="428">
        <v>31123269</v>
      </c>
      <c r="I1347" s="428">
        <v>543012</v>
      </c>
      <c r="J1347" s="2" t="s">
        <v>1</v>
      </c>
      <c r="K1347" s="27">
        <v>465000</v>
      </c>
      <c r="L1347" s="4"/>
      <c r="M1347" s="4"/>
      <c r="N1347" s="4"/>
      <c r="O1347" s="4"/>
      <c r="P1347" s="4"/>
      <c r="Q1347" s="461"/>
      <c r="R1347" s="461"/>
      <c r="S1347" s="461"/>
      <c r="T1347" s="461"/>
      <c r="U1347" s="445"/>
      <c r="V1347" s="420"/>
      <c r="W1347" s="445">
        <v>95000</v>
      </c>
      <c r="X1347" s="445">
        <v>95000</v>
      </c>
      <c r="Y1347" s="445">
        <v>95000</v>
      </c>
      <c r="Z1347" s="513">
        <v>90000</v>
      </c>
      <c r="AA1347" s="556">
        <v>90000</v>
      </c>
      <c r="AB1347" s="2" t="s">
        <v>11</v>
      </c>
      <c r="AC1347" s="462"/>
      <c r="AD1347" s="462"/>
      <c r="AE1347" s="462"/>
      <c r="AF1347" s="462"/>
      <c r="AG1347" s="462"/>
      <c r="AH1347" s="462"/>
      <c r="AI1347" s="462"/>
      <c r="AJ1347" s="462"/>
      <c r="AK1347" s="463"/>
      <c r="AL1347" s="463"/>
      <c r="AM1347" s="463"/>
      <c r="AN1347" s="463"/>
      <c r="AO1347" s="463"/>
      <c r="AP1347" s="463"/>
      <c r="AQ1347" s="463"/>
      <c r="AR1347" s="463"/>
      <c r="AS1347" s="2"/>
      <c r="AT1347" s="2"/>
    </row>
    <row r="1348" spans="1:46" s="446" customFormat="1" x14ac:dyDescent="0.25">
      <c r="A1348" s="400" t="s">
        <v>1237</v>
      </c>
      <c r="B1348" s="26"/>
      <c r="C1348" s="444"/>
      <c r="D1348" s="54"/>
      <c r="E1348" s="387" t="s">
        <v>12</v>
      </c>
      <c r="F1348" s="35"/>
      <c r="G1348" s="146" t="s">
        <v>1211</v>
      </c>
      <c r="H1348" s="146" t="s">
        <v>1106</v>
      </c>
      <c r="I1348" s="146"/>
      <c r="J1348" s="17" t="s">
        <v>2</v>
      </c>
      <c r="K1348" s="447">
        <v>68677.08</v>
      </c>
      <c r="L1348" s="11"/>
      <c r="M1348" s="11"/>
      <c r="N1348" s="11"/>
      <c r="O1348" s="11"/>
      <c r="P1348" s="4"/>
      <c r="Q1348" s="453"/>
      <c r="R1348" s="453"/>
      <c r="S1348" s="453"/>
      <c r="T1348" s="453"/>
      <c r="U1348" s="445"/>
      <c r="V1348" s="420"/>
      <c r="W1348" s="445">
        <f>11302.08+11625</f>
        <v>22927.08</v>
      </c>
      <c r="X1348" s="445">
        <f>9250+9250</f>
        <v>18500</v>
      </c>
      <c r="Y1348" s="445">
        <f>6875+6875</f>
        <v>13750</v>
      </c>
      <c r="Z1348" s="513">
        <f>4500+4500</f>
        <v>9000</v>
      </c>
      <c r="AA1348" s="556">
        <f>2250+2250</f>
        <v>4500</v>
      </c>
      <c r="AB1348" s="17" t="s">
        <v>11</v>
      </c>
      <c r="AC1348" s="419"/>
      <c r="AD1348" s="419"/>
      <c r="AE1348" s="419"/>
      <c r="AF1348" s="419"/>
      <c r="AG1348" s="419"/>
      <c r="AH1348" s="419"/>
      <c r="AI1348" s="419"/>
      <c r="AJ1348" s="419"/>
      <c r="AK1348" s="418"/>
      <c r="AL1348" s="418"/>
      <c r="AM1348" s="418"/>
      <c r="AN1348" s="418"/>
      <c r="AO1348" s="418"/>
      <c r="AP1348" s="418"/>
      <c r="AQ1348" s="418"/>
      <c r="AR1348" s="418"/>
      <c r="AS1348" s="17"/>
      <c r="AT1348" s="17"/>
    </row>
    <row r="1349" spans="1:46" s="450" customFormat="1" ht="13.8" thickBot="1" x14ac:dyDescent="0.3">
      <c r="A1349" s="120"/>
      <c r="B1349" s="120"/>
      <c r="C1349" s="120"/>
      <c r="D1349" s="85"/>
      <c r="E1349" s="390" t="s">
        <v>160</v>
      </c>
      <c r="F1349" s="391" t="s">
        <v>409</v>
      </c>
      <c r="G1349" s="141" t="s">
        <v>935</v>
      </c>
      <c r="H1349" s="464"/>
      <c r="I1349" s="145"/>
      <c r="J1349" s="450" t="s">
        <v>5</v>
      </c>
      <c r="K1349" s="451">
        <f>K1348+K1347</f>
        <v>533677.07999999996</v>
      </c>
      <c r="L1349" s="43"/>
      <c r="M1349" s="43"/>
      <c r="N1349" s="43"/>
      <c r="O1349" s="43"/>
      <c r="P1349" s="43">
        <f>P1348+P1347</f>
        <v>0</v>
      </c>
      <c r="Q1349" s="414"/>
      <c r="R1349" s="43">
        <f>R1348+R1347</f>
        <v>0</v>
      </c>
      <c r="S1349" s="43">
        <f>S1348+S1347</f>
        <v>0</v>
      </c>
      <c r="T1349" s="43"/>
      <c r="U1349" s="413">
        <f t="shared" ref="U1349" si="1069">U1348+U1347</f>
        <v>0</v>
      </c>
      <c r="V1349" s="412"/>
      <c r="W1349" s="412">
        <f t="shared" ref="W1349:AA1349" si="1070">W1348+W1347</f>
        <v>117927.08</v>
      </c>
      <c r="X1349" s="412">
        <f t="shared" si="1070"/>
        <v>113500</v>
      </c>
      <c r="Y1349" s="412">
        <f t="shared" si="1070"/>
        <v>108750</v>
      </c>
      <c r="Z1349" s="510">
        <f t="shared" si="1070"/>
        <v>99000</v>
      </c>
      <c r="AA1349" s="553">
        <f t="shared" si="1070"/>
        <v>94500</v>
      </c>
      <c r="AB1349" s="41" t="s">
        <v>11</v>
      </c>
      <c r="AC1349" s="412"/>
      <c r="AD1349" s="412"/>
      <c r="AE1349" s="412"/>
      <c r="AF1349" s="412"/>
      <c r="AG1349" s="412"/>
      <c r="AH1349" s="412"/>
      <c r="AI1349" s="412"/>
      <c r="AJ1349" s="412"/>
      <c r="AK1349" s="411"/>
      <c r="AL1349" s="411"/>
      <c r="AM1349" s="411"/>
      <c r="AN1349" s="411"/>
      <c r="AO1349" s="411"/>
      <c r="AP1349" s="411"/>
      <c r="AQ1349" s="411"/>
      <c r="AR1349" s="411"/>
      <c r="AS1349" s="41"/>
      <c r="AT1349" s="41"/>
    </row>
    <row r="1350" spans="1:46" s="446" customFormat="1" x14ac:dyDescent="0.25">
      <c r="A1350" s="380" t="s">
        <v>98</v>
      </c>
      <c r="B1350" s="26" t="s">
        <v>96</v>
      </c>
      <c r="C1350" s="444"/>
      <c r="D1350" s="54" t="s">
        <v>3</v>
      </c>
      <c r="E1350" s="389">
        <v>44657</v>
      </c>
      <c r="F1350" s="456" t="s">
        <v>266</v>
      </c>
      <c r="G1350" s="323" t="s">
        <v>1137</v>
      </c>
      <c r="H1350" s="438">
        <v>31300245</v>
      </c>
      <c r="I1350" s="323">
        <v>581504</v>
      </c>
      <c r="J1350" s="2" t="s">
        <v>1</v>
      </c>
      <c r="K1350" s="27">
        <v>590000</v>
      </c>
      <c r="L1350" s="4"/>
      <c r="M1350" s="4"/>
      <c r="N1350" s="4"/>
      <c r="O1350" s="4"/>
      <c r="P1350" s="4"/>
      <c r="Q1350" s="453"/>
      <c r="R1350" s="453"/>
      <c r="S1350" s="453"/>
      <c r="T1350" s="453"/>
      <c r="U1350" s="445"/>
      <c r="V1350" s="420"/>
      <c r="W1350" s="445">
        <v>60000</v>
      </c>
      <c r="X1350" s="445">
        <v>60000</v>
      </c>
      <c r="Y1350" s="445">
        <v>60000</v>
      </c>
      <c r="Z1350" s="513">
        <v>60000</v>
      </c>
      <c r="AA1350" s="556">
        <v>60000</v>
      </c>
      <c r="AB1350" s="445">
        <v>60000</v>
      </c>
      <c r="AC1350" s="445">
        <v>60000</v>
      </c>
      <c r="AD1350" s="445">
        <v>60000</v>
      </c>
      <c r="AE1350" s="445">
        <v>55000</v>
      </c>
      <c r="AF1350" s="445">
        <v>55000</v>
      </c>
      <c r="AG1350" s="2" t="s">
        <v>11</v>
      </c>
      <c r="AH1350" s="430"/>
      <c r="AI1350" s="430"/>
      <c r="AJ1350" s="430"/>
      <c r="AK1350" s="419"/>
      <c r="AL1350" s="424"/>
      <c r="AM1350" s="424"/>
      <c r="AN1350" s="424"/>
      <c r="AO1350" s="424"/>
      <c r="AP1350" s="424"/>
      <c r="AQ1350" s="424"/>
      <c r="AR1350" s="424"/>
      <c r="AS1350" s="2"/>
      <c r="AT1350" s="2"/>
    </row>
    <row r="1351" spans="1:46" s="446" customFormat="1" x14ac:dyDescent="0.25">
      <c r="A1351" s="400" t="s">
        <v>1238</v>
      </c>
      <c r="B1351" s="26"/>
      <c r="C1351" s="444"/>
      <c r="D1351" s="54"/>
      <c r="E1351" s="387" t="s">
        <v>12</v>
      </c>
      <c r="F1351" s="35"/>
      <c r="G1351" s="146" t="s">
        <v>1212</v>
      </c>
      <c r="H1351" s="146" t="s">
        <v>1105</v>
      </c>
      <c r="I1351" s="35"/>
      <c r="J1351" s="17" t="s">
        <v>2</v>
      </c>
      <c r="K1351" s="447">
        <v>144613.89000000001</v>
      </c>
      <c r="L1351" s="11"/>
      <c r="M1351" s="11"/>
      <c r="N1351" s="11"/>
      <c r="O1351" s="11"/>
      <c r="P1351" s="4"/>
      <c r="Q1351" s="453"/>
      <c r="R1351" s="453"/>
      <c r="S1351" s="453"/>
      <c r="T1351" s="453"/>
      <c r="U1351" s="445"/>
      <c r="V1351" s="420"/>
      <c r="W1351" s="445">
        <f>13513.89+13900</f>
        <v>27413.89</v>
      </c>
      <c r="X1351" s="445">
        <f>12400+12400</f>
        <v>24800</v>
      </c>
      <c r="Y1351" s="445">
        <f>10900+10900</f>
        <v>21800</v>
      </c>
      <c r="Z1351" s="513">
        <f>9400+9400</f>
        <v>18800</v>
      </c>
      <c r="AA1351" s="556">
        <f>7900+7900</f>
        <v>15800</v>
      </c>
      <c r="AB1351" s="445">
        <f>6400+6400</f>
        <v>12800</v>
      </c>
      <c r="AC1351" s="445">
        <f>4900+4900</f>
        <v>9800</v>
      </c>
      <c r="AD1351" s="445">
        <f>3400+3400</f>
        <v>6800</v>
      </c>
      <c r="AE1351" s="445">
        <f>2200+2200</f>
        <v>4400</v>
      </c>
      <c r="AF1351" s="445">
        <f>1100+1100</f>
        <v>2200</v>
      </c>
      <c r="AG1351" s="17" t="s">
        <v>11</v>
      </c>
      <c r="AH1351" s="430"/>
      <c r="AI1351" s="430"/>
      <c r="AJ1351" s="430"/>
      <c r="AK1351" s="419"/>
      <c r="AL1351" s="418"/>
      <c r="AM1351" s="418"/>
      <c r="AN1351" s="418"/>
      <c r="AO1351" s="418"/>
      <c r="AP1351" s="418"/>
      <c r="AQ1351" s="418"/>
      <c r="AR1351" s="418"/>
      <c r="AS1351" s="17"/>
      <c r="AT1351" s="17"/>
    </row>
    <row r="1352" spans="1:46" s="450" customFormat="1" ht="13.8" thickBot="1" x14ac:dyDescent="0.3">
      <c r="A1352" s="120"/>
      <c r="B1352" s="120"/>
      <c r="C1352" s="120"/>
      <c r="D1352" s="85"/>
      <c r="E1352" s="390" t="s">
        <v>17</v>
      </c>
      <c r="F1352" s="86" t="s">
        <v>408</v>
      </c>
      <c r="G1352" s="141" t="s">
        <v>1201</v>
      </c>
      <c r="H1352" s="464"/>
      <c r="I1352" s="125"/>
      <c r="J1352" s="450" t="s">
        <v>5</v>
      </c>
      <c r="K1352" s="451">
        <f>K1351+K1350</f>
        <v>734613.89</v>
      </c>
      <c r="L1352" s="43"/>
      <c r="M1352" s="43"/>
      <c r="N1352" s="43"/>
      <c r="O1352" s="43"/>
      <c r="P1352" s="43">
        <f>P1351+P1350</f>
        <v>0</v>
      </c>
      <c r="Q1352" s="414"/>
      <c r="R1352" s="43">
        <f>R1351+R1350</f>
        <v>0</v>
      </c>
      <c r="S1352" s="43">
        <f>S1351+S1350</f>
        <v>0</v>
      </c>
      <c r="T1352" s="43"/>
      <c r="U1352" s="43">
        <f t="shared" ref="U1352" si="1071">U1351+U1350</f>
        <v>0</v>
      </c>
      <c r="V1352" s="412"/>
      <c r="W1352" s="412">
        <f t="shared" ref="W1352:AF1352" si="1072">W1351+W1350</f>
        <v>87413.89</v>
      </c>
      <c r="X1352" s="412">
        <f t="shared" si="1072"/>
        <v>84800</v>
      </c>
      <c r="Y1352" s="412">
        <f t="shared" si="1072"/>
        <v>81800</v>
      </c>
      <c r="Z1352" s="510">
        <f t="shared" si="1072"/>
        <v>78800</v>
      </c>
      <c r="AA1352" s="553">
        <f t="shared" si="1072"/>
        <v>75800</v>
      </c>
      <c r="AB1352" s="412">
        <f t="shared" si="1072"/>
        <v>72800</v>
      </c>
      <c r="AC1352" s="412">
        <f t="shared" si="1072"/>
        <v>69800</v>
      </c>
      <c r="AD1352" s="412">
        <f t="shared" si="1072"/>
        <v>66800</v>
      </c>
      <c r="AE1352" s="412">
        <f t="shared" si="1072"/>
        <v>59400</v>
      </c>
      <c r="AF1352" s="412">
        <f t="shared" si="1072"/>
        <v>57200</v>
      </c>
      <c r="AG1352" s="41" t="s">
        <v>11</v>
      </c>
      <c r="AH1352" s="412"/>
      <c r="AI1352" s="412"/>
      <c r="AJ1352" s="412"/>
      <c r="AK1352" s="412"/>
      <c r="AL1352" s="411"/>
      <c r="AM1352" s="411"/>
      <c r="AN1352" s="411"/>
      <c r="AO1352" s="411"/>
      <c r="AP1352" s="411"/>
      <c r="AQ1352" s="411"/>
      <c r="AR1352" s="411"/>
      <c r="AS1352" s="41"/>
      <c r="AT1352" s="41"/>
    </row>
    <row r="1353" spans="1:46" s="3" customFormat="1" x14ac:dyDescent="0.25">
      <c r="A1353" s="121"/>
      <c r="B1353" s="121"/>
      <c r="C1353" s="306"/>
      <c r="D1353" s="54"/>
      <c r="E1353" s="54"/>
      <c r="F1353" s="54"/>
      <c r="G1353" s="36" t="s">
        <v>32</v>
      </c>
      <c r="H1353" s="152">
        <v>1774619</v>
      </c>
      <c r="I1353" s="36">
        <v>591100</v>
      </c>
      <c r="J1353" s="33" t="s">
        <v>1</v>
      </c>
      <c r="K1353" s="37">
        <f>K1314+K1317+K1320+K1323+K1326+K1329+K1332+K1335+K1338+K1341+K1344+K1347+K1350</f>
        <v>5570000</v>
      </c>
      <c r="L1353" s="7"/>
      <c r="M1353" s="7"/>
      <c r="N1353" s="67"/>
      <c r="O1353" s="67"/>
      <c r="P1353" s="67"/>
      <c r="Q1353" s="67"/>
      <c r="R1353" s="67"/>
      <c r="S1353" s="67"/>
      <c r="T1353" s="67" t="e">
        <f>#REF!+#REF!+#REF!+#REF!+#REF!+#REF!+#REF!+#REF!+#REF!+#REF!+#REF!+#REF!+#REF!+#REF!</f>
        <v>#REF!</v>
      </c>
      <c r="U1353" s="67"/>
      <c r="V1353" s="67"/>
      <c r="W1353" s="67">
        <f t="shared" ref="W1353:Y1353" si="1073">W1314+W1317+W1320+W1350+W1347+W1344+W1341+W1338+W1335+W1332+W1329+W1326+W1323</f>
        <v>770000</v>
      </c>
      <c r="X1353" s="67">
        <f t="shared" si="1073"/>
        <v>765000</v>
      </c>
      <c r="Y1353" s="67">
        <f t="shared" si="1073"/>
        <v>760000</v>
      </c>
      <c r="Z1353" s="507">
        <f>Z1314+Z1317+Z1320+Z1350+Z1347+Z1344+Z1341+Z1338+Z1332+Z1329+Z1326+Z1323</f>
        <v>745000</v>
      </c>
      <c r="AA1353" s="546">
        <f t="shared" ref="AA1353:AA1354" si="1074">AA1314+AA1317+AA1320+AA1350+AA1347+AA1344+AA1341+AA1338+AA1332+AA1329+AA1326+AA1323</f>
        <v>730000</v>
      </c>
      <c r="AB1353" s="67">
        <f>AB1314+AB1320+AB1350+AB1341+AB1329+AB1326+AB1323</f>
        <v>315000</v>
      </c>
      <c r="AC1353" s="67">
        <f t="shared" ref="AC1353:AE1353" si="1075">AC1314+AC1320+AC1350+AC1341+AC1329+AC1326+AC1323</f>
        <v>315000</v>
      </c>
      <c r="AD1353" s="67">
        <f t="shared" si="1075"/>
        <v>315000</v>
      </c>
      <c r="AE1353" s="67">
        <f t="shared" si="1075"/>
        <v>310000</v>
      </c>
      <c r="AF1353" s="67">
        <f>AF1314+AF1320+AF1350+AF1341+AF1326+AF1323</f>
        <v>290000</v>
      </c>
      <c r="AG1353" s="67">
        <f>AG1314</f>
        <v>30000</v>
      </c>
      <c r="AH1353" s="67">
        <f t="shared" ref="AH1353:AP1353" si="1076">AH1314</f>
        <v>25000</v>
      </c>
      <c r="AI1353" s="67">
        <f t="shared" si="1076"/>
        <v>25000</v>
      </c>
      <c r="AJ1353" s="67">
        <f t="shared" si="1076"/>
        <v>25000</v>
      </c>
      <c r="AK1353" s="67">
        <f t="shared" si="1076"/>
        <v>25000</v>
      </c>
      <c r="AL1353" s="67">
        <f t="shared" si="1076"/>
        <v>25000</v>
      </c>
      <c r="AM1353" s="67">
        <f t="shared" si="1076"/>
        <v>25000</v>
      </c>
      <c r="AN1353" s="67">
        <f t="shared" si="1076"/>
        <v>25000</v>
      </c>
      <c r="AO1353" s="67">
        <f t="shared" si="1076"/>
        <v>25000</v>
      </c>
      <c r="AP1353" s="67">
        <f t="shared" si="1076"/>
        <v>25000</v>
      </c>
      <c r="AQ1353" s="3" t="s">
        <v>11</v>
      </c>
    </row>
    <row r="1354" spans="1:46" s="3" customFormat="1" x14ac:dyDescent="0.25">
      <c r="A1354" s="121"/>
      <c r="B1354" s="121"/>
      <c r="C1354" s="306"/>
      <c r="D1354" s="54"/>
      <c r="E1354" s="54"/>
      <c r="F1354" s="54"/>
      <c r="G1354" s="33"/>
      <c r="H1354" s="152">
        <v>1774619</v>
      </c>
      <c r="I1354" s="33">
        <v>595100</v>
      </c>
      <c r="J1354" s="38" t="s">
        <v>2</v>
      </c>
      <c r="K1354" s="37">
        <f>K1315+K1318+K1321+K1324+K1327+K1330+K1333+K1336+K1339+K1342+K1345+K1348+K1351</f>
        <v>1210190.6300000004</v>
      </c>
      <c r="L1354" s="16"/>
      <c r="M1354" s="16"/>
      <c r="N1354" s="7"/>
      <c r="O1354" s="7"/>
      <c r="P1354" s="7"/>
      <c r="Q1354" s="7"/>
      <c r="R1354" s="7"/>
      <c r="S1354" s="7"/>
      <c r="T1354" s="7" t="e">
        <f>#REF!+#REF!+#REF!+#REF!+#REF!+#REF!+#REF!+#REF!+#REF!+#REF!+#REF!+#REF!+#REF!+#REF!</f>
        <v>#REF!</v>
      </c>
      <c r="U1354" s="7"/>
      <c r="V1354" s="7"/>
      <c r="W1354" s="474">
        <f>W1351+W1348+W1345+W1342+W1339+W1336+W1333+W1330+W1327+W1324+W1321+W1318+W1315</f>
        <v>260703.12</v>
      </c>
      <c r="X1354" s="7">
        <f t="shared" ref="X1354:Y1354" si="1077">X1315+X1318+X1321+X1351+X1348+X1345+X1342+X1339+X1336+X1333+X1330+X1327+X1324</f>
        <v>225875</v>
      </c>
      <c r="Y1354" s="7">
        <f t="shared" si="1077"/>
        <v>187625</v>
      </c>
      <c r="Z1354" s="501">
        <f>Z1315+Z1318+Z1321+Z1351+Z1348+Z1345+Z1342+Z1339+Z1333+Z1330+Z1327+Z1324</f>
        <v>149625</v>
      </c>
      <c r="AA1354" s="540">
        <f t="shared" si="1074"/>
        <v>112375</v>
      </c>
      <c r="AB1354" s="7">
        <f>AB1315+AB1321+AB1351+AB1342+AB1330+AB1327+AB1324</f>
        <v>75875</v>
      </c>
      <c r="AC1354" s="7">
        <f t="shared" ref="AC1354:AD1354" si="1078">AC1315+AC1321+AC1351+AC1342+AC1330+AC1327+AC1324</f>
        <v>60125</v>
      </c>
      <c r="AD1354" s="7">
        <f t="shared" si="1078"/>
        <v>44375</v>
      </c>
      <c r="AE1354" s="7">
        <f>AE1315+AE1321+AE1351+AE1342+AE1330+AE1327+AE1324</f>
        <v>31775</v>
      </c>
      <c r="AF1354" s="7">
        <f>AF1315+AF1321+AF1351+AF1342+AF1327+AF1324</f>
        <v>19375</v>
      </c>
      <c r="AG1354" s="7">
        <f>AG1315</f>
        <v>7775</v>
      </c>
      <c r="AH1354" s="7">
        <f t="shared" ref="AH1354:AP1354" si="1079">AH1315</f>
        <v>6875</v>
      </c>
      <c r="AI1354" s="7">
        <f t="shared" si="1079"/>
        <v>6125</v>
      </c>
      <c r="AJ1354" s="7">
        <f t="shared" si="1079"/>
        <v>5375</v>
      </c>
      <c r="AK1354" s="7">
        <f t="shared" si="1079"/>
        <v>4625</v>
      </c>
      <c r="AL1354" s="7">
        <f t="shared" si="1079"/>
        <v>3875</v>
      </c>
      <c r="AM1354" s="7">
        <f t="shared" si="1079"/>
        <v>3125</v>
      </c>
      <c r="AN1354" s="7">
        <f t="shared" si="1079"/>
        <v>2343.75</v>
      </c>
      <c r="AO1354" s="7">
        <f t="shared" si="1079"/>
        <v>1562.5</v>
      </c>
      <c r="AP1354" s="7">
        <f t="shared" si="1079"/>
        <v>781.25</v>
      </c>
      <c r="AQ1354" s="20" t="s">
        <v>11</v>
      </c>
      <c r="AR1354" s="20"/>
      <c r="AS1354" s="20"/>
      <c r="AT1354" s="20"/>
    </row>
    <row r="1355" spans="1:46" s="8" customFormat="1" ht="13.8" thickBot="1" x14ac:dyDescent="0.3">
      <c r="A1355" s="122"/>
      <c r="B1355" s="122"/>
      <c r="C1355" s="307"/>
      <c r="D1355" s="85"/>
      <c r="E1355" s="85"/>
      <c r="F1355" s="85"/>
      <c r="G1355" s="141" t="s">
        <v>1297</v>
      </c>
      <c r="H1355" s="85"/>
      <c r="I1355" s="85"/>
      <c r="J1355" s="44" t="s">
        <v>5</v>
      </c>
      <c r="K1355" s="45">
        <f>K1354+K1353</f>
        <v>6780190.6300000008</v>
      </c>
      <c r="L1355" s="46"/>
      <c r="M1355" s="46"/>
      <c r="N1355" s="46"/>
      <c r="O1355" s="46"/>
      <c r="P1355" s="46"/>
      <c r="Q1355" s="46"/>
      <c r="R1355" s="46"/>
      <c r="S1355" s="46"/>
      <c r="T1355" s="46" t="e">
        <f t="shared" ref="T1355" si="1080">T1354+T1353</f>
        <v>#REF!</v>
      </c>
      <c r="U1355" s="46"/>
      <c r="V1355" s="46"/>
      <c r="W1355" s="46">
        <f t="shared" ref="W1355:AP1355" si="1081">W1354+W1353</f>
        <v>1030703.12</v>
      </c>
      <c r="X1355" s="46">
        <f t="shared" si="1081"/>
        <v>990875</v>
      </c>
      <c r="Y1355" s="46">
        <f t="shared" si="1081"/>
        <v>947625</v>
      </c>
      <c r="Z1355" s="503">
        <f t="shared" si="1081"/>
        <v>894625</v>
      </c>
      <c r="AA1355" s="542">
        <f t="shared" si="1081"/>
        <v>842375</v>
      </c>
      <c r="AB1355" s="46">
        <f t="shared" si="1081"/>
        <v>390875</v>
      </c>
      <c r="AC1355" s="46">
        <f t="shared" si="1081"/>
        <v>375125</v>
      </c>
      <c r="AD1355" s="46">
        <f t="shared" si="1081"/>
        <v>359375</v>
      </c>
      <c r="AE1355" s="46">
        <f t="shared" si="1081"/>
        <v>341775</v>
      </c>
      <c r="AF1355" s="46">
        <f t="shared" si="1081"/>
        <v>309375</v>
      </c>
      <c r="AG1355" s="46">
        <f t="shared" si="1081"/>
        <v>37775</v>
      </c>
      <c r="AH1355" s="46">
        <f t="shared" si="1081"/>
        <v>31875</v>
      </c>
      <c r="AI1355" s="46">
        <f t="shared" si="1081"/>
        <v>31125</v>
      </c>
      <c r="AJ1355" s="46">
        <f t="shared" si="1081"/>
        <v>30375</v>
      </c>
      <c r="AK1355" s="46">
        <f t="shared" si="1081"/>
        <v>29625</v>
      </c>
      <c r="AL1355" s="46">
        <f t="shared" si="1081"/>
        <v>28875</v>
      </c>
      <c r="AM1355" s="46">
        <f t="shared" si="1081"/>
        <v>28125</v>
      </c>
      <c r="AN1355" s="46">
        <f t="shared" si="1081"/>
        <v>27343.75</v>
      </c>
      <c r="AO1355" s="46">
        <f t="shared" si="1081"/>
        <v>26562.5</v>
      </c>
      <c r="AP1355" s="46">
        <f t="shared" si="1081"/>
        <v>25781.25</v>
      </c>
      <c r="AQ1355" s="47" t="s">
        <v>11</v>
      </c>
      <c r="AR1355" s="47"/>
      <c r="AS1355" s="47"/>
      <c r="AT1355" s="47"/>
    </row>
    <row r="1356" spans="1:46" s="446" customFormat="1" x14ac:dyDescent="0.25">
      <c r="A1356" s="380" t="s">
        <v>0</v>
      </c>
      <c r="B1356" s="26" t="s">
        <v>96</v>
      </c>
      <c r="C1356" s="444"/>
      <c r="D1356" s="332" t="s">
        <v>0</v>
      </c>
      <c r="E1356" s="466">
        <v>44657</v>
      </c>
      <c r="F1356" s="24" t="s">
        <v>267</v>
      </c>
      <c r="G1356" s="319" t="s">
        <v>1160</v>
      </c>
      <c r="H1356" s="471">
        <v>60312215</v>
      </c>
      <c r="I1356" s="471">
        <v>586003</v>
      </c>
      <c r="J1356" s="2" t="s">
        <v>1</v>
      </c>
      <c r="K1356" s="452">
        <v>215000</v>
      </c>
      <c r="L1356" s="4"/>
      <c r="M1356" s="4"/>
      <c r="N1356" s="4"/>
      <c r="O1356" s="4"/>
      <c r="P1356" s="4"/>
      <c r="Q1356" s="445">
        <v>35000</v>
      </c>
      <c r="R1356" s="445">
        <v>35000</v>
      </c>
      <c r="S1356" s="453"/>
      <c r="T1356" s="453"/>
      <c r="U1356" s="445"/>
      <c r="V1356" s="419"/>
      <c r="W1356" s="445">
        <v>15000</v>
      </c>
      <c r="X1356" s="445">
        <v>15000</v>
      </c>
      <c r="Y1356" s="445">
        <v>15000</v>
      </c>
      <c r="Z1356" s="513">
        <v>10000</v>
      </c>
      <c r="AA1356" s="556">
        <v>10000</v>
      </c>
      <c r="AB1356" s="445">
        <v>10000</v>
      </c>
      <c r="AC1356" s="445">
        <v>10000</v>
      </c>
      <c r="AD1356" s="445">
        <v>10000</v>
      </c>
      <c r="AE1356" s="445">
        <v>10000</v>
      </c>
      <c r="AF1356" s="445">
        <v>10000</v>
      </c>
      <c r="AG1356" s="445">
        <v>10000</v>
      </c>
      <c r="AH1356" s="445">
        <v>10000</v>
      </c>
      <c r="AI1356" s="445">
        <v>10000</v>
      </c>
      <c r="AJ1356" s="445">
        <v>10000</v>
      </c>
      <c r="AK1356" s="445">
        <v>10000</v>
      </c>
      <c r="AL1356" s="445">
        <v>10000</v>
      </c>
      <c r="AM1356" s="445">
        <v>10000</v>
      </c>
      <c r="AN1356" s="445">
        <v>10000</v>
      </c>
      <c r="AO1356" s="445">
        <v>10000</v>
      </c>
      <c r="AP1356" s="445">
        <v>10000</v>
      </c>
      <c r="AQ1356" s="2" t="s">
        <v>11</v>
      </c>
      <c r="AR1356" s="424"/>
      <c r="AS1356" s="4"/>
      <c r="AT1356" s="4"/>
    </row>
    <row r="1357" spans="1:46" s="446" customFormat="1" x14ac:dyDescent="0.25">
      <c r="A1357" s="400" t="s">
        <v>1225</v>
      </c>
      <c r="B1357" s="26"/>
      <c r="C1357" s="26"/>
      <c r="D1357" s="454"/>
      <c r="E1357" s="317" t="s">
        <v>13</v>
      </c>
      <c r="F1357" s="15"/>
      <c r="G1357" s="148" t="s">
        <v>1161</v>
      </c>
      <c r="H1357" s="148" t="s">
        <v>1108</v>
      </c>
      <c r="I1357" s="148"/>
      <c r="J1357" s="17" t="s">
        <v>2</v>
      </c>
      <c r="K1357" s="447">
        <v>73606.94</v>
      </c>
      <c r="L1357" s="11"/>
      <c r="M1357" s="11"/>
      <c r="N1357" s="11"/>
      <c r="O1357" s="11"/>
      <c r="P1357" s="11"/>
      <c r="Q1357" s="445">
        <v>41013</v>
      </c>
      <c r="R1357" s="445">
        <v>39525</v>
      </c>
      <c r="S1357" s="453"/>
      <c r="T1357" s="453"/>
      <c r="U1357" s="445"/>
      <c r="V1357" s="448"/>
      <c r="W1357" s="445">
        <f>4131.94+4250</f>
        <v>8381.9399999999987</v>
      </c>
      <c r="X1357" s="445">
        <f>3875+3875</f>
        <v>7750</v>
      </c>
      <c r="Y1357" s="445">
        <f>3500+3500</f>
        <v>7000</v>
      </c>
      <c r="Z1357" s="513">
        <f>3125+3125</f>
        <v>6250</v>
      </c>
      <c r="AA1357" s="556">
        <f>2875+2875</f>
        <v>5750</v>
      </c>
      <c r="AB1357" s="445">
        <f>2625+2625</f>
        <v>5250</v>
      </c>
      <c r="AC1357" s="445">
        <f>2375+2375</f>
        <v>4750</v>
      </c>
      <c r="AD1357" s="445">
        <f>2125+2125</f>
        <v>4250</v>
      </c>
      <c r="AE1357" s="445">
        <f>1925+1925</f>
        <v>3850</v>
      </c>
      <c r="AF1357" s="445">
        <f>1725+1725</f>
        <v>3450</v>
      </c>
      <c r="AG1357" s="445">
        <f>1525+1525</f>
        <v>3050</v>
      </c>
      <c r="AH1357" s="445">
        <f>1375+1375</f>
        <v>2750</v>
      </c>
      <c r="AI1357" s="445">
        <f>1225+1225</f>
        <v>2450</v>
      </c>
      <c r="AJ1357" s="445">
        <f>1075+1075</f>
        <v>2150</v>
      </c>
      <c r="AK1357" s="445">
        <f>925+925</f>
        <v>1850</v>
      </c>
      <c r="AL1357" s="445">
        <f>775+775</f>
        <v>1550</v>
      </c>
      <c r="AM1357" s="445">
        <f>625+625</f>
        <v>1250</v>
      </c>
      <c r="AN1357" s="445">
        <f>468.75+468.75</f>
        <v>937.5</v>
      </c>
      <c r="AO1357" s="445">
        <f>312.5+312.5</f>
        <v>625</v>
      </c>
      <c r="AP1357" s="445">
        <f>156.25+156.25</f>
        <v>312.5</v>
      </c>
      <c r="AQ1357" s="17" t="s">
        <v>11</v>
      </c>
      <c r="AR1357" s="418"/>
      <c r="AS1357" s="11"/>
      <c r="AT1357" s="11"/>
    </row>
    <row r="1358" spans="1:46" s="450" customFormat="1" ht="13.8" thickBot="1" x14ac:dyDescent="0.3">
      <c r="A1358" s="120"/>
      <c r="B1358" s="120"/>
      <c r="C1358" s="120"/>
      <c r="D1358" s="455"/>
      <c r="E1358" s="88" t="s">
        <v>14</v>
      </c>
      <c r="F1358" s="88" t="s">
        <v>406</v>
      </c>
      <c r="G1358" s="149" t="s">
        <v>1162</v>
      </c>
      <c r="H1358" s="143"/>
      <c r="I1358" s="143"/>
      <c r="J1358" s="450" t="s">
        <v>5</v>
      </c>
      <c r="K1358" s="451">
        <f>K1357+K1356</f>
        <v>288606.94</v>
      </c>
      <c r="L1358" s="43"/>
      <c r="M1358" s="43"/>
      <c r="N1358" s="43"/>
      <c r="O1358" s="43"/>
      <c r="P1358" s="43"/>
      <c r="Q1358" s="413">
        <f>Q1357+Q1356</f>
        <v>76013</v>
      </c>
      <c r="R1358" s="413">
        <f>R1357+R1356</f>
        <v>74525</v>
      </c>
      <c r="S1358" s="43">
        <f>S1357+S1356</f>
        <v>0</v>
      </c>
      <c r="T1358" s="43"/>
      <c r="U1358" s="413">
        <f>U1357+U1356</f>
        <v>0</v>
      </c>
      <c r="V1358" s="412"/>
      <c r="W1358" s="412">
        <f t="shared" ref="W1358:AP1358" si="1082">W1357+W1356</f>
        <v>23381.94</v>
      </c>
      <c r="X1358" s="412">
        <f t="shared" si="1082"/>
        <v>22750</v>
      </c>
      <c r="Y1358" s="412">
        <f t="shared" si="1082"/>
        <v>22000</v>
      </c>
      <c r="Z1358" s="510">
        <f t="shared" si="1082"/>
        <v>16250</v>
      </c>
      <c r="AA1358" s="553">
        <f t="shared" si="1082"/>
        <v>15750</v>
      </c>
      <c r="AB1358" s="412">
        <f t="shared" si="1082"/>
        <v>15250</v>
      </c>
      <c r="AC1358" s="412">
        <f t="shared" si="1082"/>
        <v>14750</v>
      </c>
      <c r="AD1358" s="412">
        <f t="shared" si="1082"/>
        <v>14250</v>
      </c>
      <c r="AE1358" s="412">
        <f t="shared" si="1082"/>
        <v>13850</v>
      </c>
      <c r="AF1358" s="412">
        <f t="shared" si="1082"/>
        <v>13450</v>
      </c>
      <c r="AG1358" s="412">
        <f t="shared" si="1082"/>
        <v>13050</v>
      </c>
      <c r="AH1358" s="412">
        <f t="shared" si="1082"/>
        <v>12750</v>
      </c>
      <c r="AI1358" s="412">
        <f t="shared" si="1082"/>
        <v>12450</v>
      </c>
      <c r="AJ1358" s="412">
        <f t="shared" si="1082"/>
        <v>12150</v>
      </c>
      <c r="AK1358" s="412">
        <f t="shared" si="1082"/>
        <v>11850</v>
      </c>
      <c r="AL1358" s="412">
        <f t="shared" si="1082"/>
        <v>11550</v>
      </c>
      <c r="AM1358" s="412">
        <f t="shared" si="1082"/>
        <v>11250</v>
      </c>
      <c r="AN1358" s="412">
        <f t="shared" si="1082"/>
        <v>10937.5</v>
      </c>
      <c r="AO1358" s="412">
        <f t="shared" si="1082"/>
        <v>10625</v>
      </c>
      <c r="AP1358" s="412">
        <f t="shared" si="1082"/>
        <v>10312.5</v>
      </c>
      <c r="AQ1358" s="41" t="s">
        <v>11</v>
      </c>
      <c r="AR1358" s="412"/>
      <c r="AS1358" s="43"/>
      <c r="AT1358" s="43"/>
    </row>
    <row r="1359" spans="1:46" s="446" customFormat="1" x14ac:dyDescent="0.25">
      <c r="A1359" s="380" t="s">
        <v>0</v>
      </c>
      <c r="B1359" s="26" t="s">
        <v>96</v>
      </c>
      <c r="C1359" s="444"/>
      <c r="D1359" s="332" t="s">
        <v>0</v>
      </c>
      <c r="E1359" s="466">
        <v>44657</v>
      </c>
      <c r="F1359" s="24" t="s">
        <v>266</v>
      </c>
      <c r="G1359" s="315" t="s">
        <v>1191</v>
      </c>
      <c r="H1359" s="472">
        <v>60312158</v>
      </c>
      <c r="I1359" s="472">
        <v>583000</v>
      </c>
      <c r="J1359" s="2" t="s">
        <v>1</v>
      </c>
      <c r="K1359" s="452">
        <v>565000</v>
      </c>
      <c r="L1359" s="4"/>
      <c r="M1359" s="4"/>
      <c r="N1359" s="4"/>
      <c r="O1359" s="4"/>
      <c r="P1359" s="4"/>
      <c r="Q1359" s="445">
        <v>35000</v>
      </c>
      <c r="R1359" s="445">
        <v>35000</v>
      </c>
      <c r="S1359" s="453"/>
      <c r="T1359" s="453"/>
      <c r="U1359" s="445"/>
      <c r="V1359" s="419"/>
      <c r="W1359" s="445">
        <v>40000</v>
      </c>
      <c r="X1359" s="445">
        <v>40000</v>
      </c>
      <c r="Y1359" s="445">
        <v>40000</v>
      </c>
      <c r="Z1359" s="513">
        <v>40000</v>
      </c>
      <c r="AA1359" s="556">
        <v>40000</v>
      </c>
      <c r="AB1359" s="445">
        <v>40000</v>
      </c>
      <c r="AC1359" s="445">
        <v>40000</v>
      </c>
      <c r="AD1359" s="445">
        <v>40000</v>
      </c>
      <c r="AE1359" s="445">
        <v>35000</v>
      </c>
      <c r="AF1359" s="445">
        <v>35000</v>
      </c>
      <c r="AG1359" s="445">
        <v>35000</v>
      </c>
      <c r="AH1359" s="445">
        <v>35000</v>
      </c>
      <c r="AI1359" s="445">
        <v>35000</v>
      </c>
      <c r="AJ1359" s="445">
        <v>35000</v>
      </c>
      <c r="AK1359" s="445">
        <v>35000</v>
      </c>
      <c r="AL1359" s="2" t="s">
        <v>11</v>
      </c>
      <c r="AM1359" s="419"/>
      <c r="AN1359" s="419"/>
      <c r="AO1359" s="419"/>
      <c r="AP1359" s="419"/>
      <c r="AQ1359" s="424"/>
      <c r="AR1359" s="424"/>
      <c r="AS1359" s="4"/>
      <c r="AT1359" s="4"/>
    </row>
    <row r="1360" spans="1:46" s="446" customFormat="1" x14ac:dyDescent="0.25">
      <c r="A1360" s="400" t="s">
        <v>1228</v>
      </c>
      <c r="B1360" s="26"/>
      <c r="C1360" s="26"/>
      <c r="D1360" s="454"/>
      <c r="E1360" s="24" t="s">
        <v>12</v>
      </c>
      <c r="F1360" s="15"/>
      <c r="G1360" s="148" t="s">
        <v>1192</v>
      </c>
      <c r="H1360" s="148" t="s">
        <v>1107</v>
      </c>
      <c r="I1360" s="148"/>
      <c r="J1360" s="17" t="s">
        <v>2</v>
      </c>
      <c r="K1360" s="447">
        <v>163321.53</v>
      </c>
      <c r="L1360" s="11"/>
      <c r="M1360" s="11"/>
      <c r="N1360" s="11"/>
      <c r="O1360" s="11"/>
      <c r="P1360" s="11"/>
      <c r="Q1360" s="445">
        <v>41013</v>
      </c>
      <c r="R1360" s="445">
        <v>39525</v>
      </c>
      <c r="S1360" s="453"/>
      <c r="T1360" s="453"/>
      <c r="U1360" s="445"/>
      <c r="V1360" s="448"/>
      <c r="W1360" s="445">
        <f>11496.53+11825</f>
        <v>23321.53</v>
      </c>
      <c r="X1360" s="445">
        <f>10825+10825</f>
        <v>21650</v>
      </c>
      <c r="Y1360" s="445">
        <f>9825+9825</f>
        <v>19650</v>
      </c>
      <c r="Z1360" s="513">
        <f>8825+8825</f>
        <v>17650</v>
      </c>
      <c r="AA1360" s="556">
        <f>7825+7825</f>
        <v>15650</v>
      </c>
      <c r="AB1360" s="445">
        <f>6825+6825</f>
        <v>13650</v>
      </c>
      <c r="AC1360" s="445">
        <f>5825+5825</f>
        <v>11650</v>
      </c>
      <c r="AD1360" s="445">
        <f>4825+4825</f>
        <v>9650</v>
      </c>
      <c r="AE1360" s="445">
        <f>4025+4025</f>
        <v>8050</v>
      </c>
      <c r="AF1360" s="445">
        <f>3325+3325</f>
        <v>6650</v>
      </c>
      <c r="AG1360" s="445">
        <f>2625+2625</f>
        <v>5250</v>
      </c>
      <c r="AH1360" s="445">
        <f>2100+2100</f>
        <v>4200</v>
      </c>
      <c r="AI1360" s="445">
        <f>1575+1575</f>
        <v>3150</v>
      </c>
      <c r="AJ1360" s="445">
        <f>1050+1050</f>
        <v>2100</v>
      </c>
      <c r="AK1360" s="445">
        <f>525+525</f>
        <v>1050</v>
      </c>
      <c r="AL1360" s="17" t="s">
        <v>11</v>
      </c>
      <c r="AM1360" s="419"/>
      <c r="AN1360" s="419"/>
      <c r="AO1360" s="419"/>
      <c r="AP1360" s="419"/>
      <c r="AQ1360" s="418"/>
      <c r="AR1360" s="418"/>
      <c r="AS1360" s="11"/>
      <c r="AT1360" s="11"/>
    </row>
    <row r="1361" spans="1:46" s="450" customFormat="1" ht="13.8" thickBot="1" x14ac:dyDescent="0.3">
      <c r="A1361" s="120"/>
      <c r="B1361" s="120"/>
      <c r="C1361" s="120"/>
      <c r="D1361" s="455"/>
      <c r="E1361" s="88" t="s">
        <v>14</v>
      </c>
      <c r="F1361" s="88" t="s">
        <v>406</v>
      </c>
      <c r="G1361" s="149" t="s">
        <v>1145</v>
      </c>
      <c r="H1361" s="143"/>
      <c r="I1361" s="143"/>
      <c r="J1361" s="450" t="s">
        <v>5</v>
      </c>
      <c r="K1361" s="451">
        <f>K1360+K1359</f>
        <v>728321.53</v>
      </c>
      <c r="L1361" s="43"/>
      <c r="M1361" s="43"/>
      <c r="N1361" s="43"/>
      <c r="O1361" s="43"/>
      <c r="P1361" s="43"/>
      <c r="Q1361" s="413">
        <f>Q1360+Q1359</f>
        <v>76013</v>
      </c>
      <c r="R1361" s="413">
        <f>R1360+R1359</f>
        <v>74525</v>
      </c>
      <c r="S1361" s="43">
        <f>S1360+S1359</f>
        <v>0</v>
      </c>
      <c r="T1361" s="43"/>
      <c r="U1361" s="413">
        <f>U1360+U1359</f>
        <v>0</v>
      </c>
      <c r="V1361" s="412"/>
      <c r="W1361" s="412">
        <f t="shared" ref="W1361:AK1361" si="1083">W1360+W1359</f>
        <v>63321.53</v>
      </c>
      <c r="X1361" s="412">
        <f t="shared" si="1083"/>
        <v>61650</v>
      </c>
      <c r="Y1361" s="412">
        <f t="shared" si="1083"/>
        <v>59650</v>
      </c>
      <c r="Z1361" s="510">
        <f t="shared" si="1083"/>
        <v>57650</v>
      </c>
      <c r="AA1361" s="553">
        <f t="shared" si="1083"/>
        <v>55650</v>
      </c>
      <c r="AB1361" s="412">
        <f t="shared" si="1083"/>
        <v>53650</v>
      </c>
      <c r="AC1361" s="412">
        <f t="shared" si="1083"/>
        <v>51650</v>
      </c>
      <c r="AD1361" s="412">
        <f t="shared" si="1083"/>
        <v>49650</v>
      </c>
      <c r="AE1361" s="412">
        <f t="shared" si="1083"/>
        <v>43050</v>
      </c>
      <c r="AF1361" s="412">
        <f t="shared" si="1083"/>
        <v>41650</v>
      </c>
      <c r="AG1361" s="412">
        <f t="shared" si="1083"/>
        <v>40250</v>
      </c>
      <c r="AH1361" s="412">
        <f t="shared" si="1083"/>
        <v>39200</v>
      </c>
      <c r="AI1361" s="412">
        <f t="shared" si="1083"/>
        <v>38150</v>
      </c>
      <c r="AJ1361" s="412">
        <f t="shared" si="1083"/>
        <v>37100</v>
      </c>
      <c r="AK1361" s="412">
        <f t="shared" si="1083"/>
        <v>36050</v>
      </c>
      <c r="AL1361" s="41" t="s">
        <v>11</v>
      </c>
      <c r="AM1361" s="412"/>
      <c r="AN1361" s="412"/>
      <c r="AO1361" s="412"/>
      <c r="AP1361" s="412"/>
      <c r="AQ1361" s="412"/>
      <c r="AR1361" s="412"/>
      <c r="AS1361" s="43"/>
      <c r="AT1361" s="43"/>
    </row>
    <row r="1362" spans="1:46" s="446" customFormat="1" x14ac:dyDescent="0.25">
      <c r="A1362" s="380" t="s">
        <v>0</v>
      </c>
      <c r="B1362" s="26" t="s">
        <v>96</v>
      </c>
      <c r="C1362" s="444"/>
      <c r="D1362" s="332" t="s">
        <v>0</v>
      </c>
      <c r="E1362" s="466">
        <v>44657</v>
      </c>
      <c r="F1362" s="24" t="s">
        <v>266</v>
      </c>
      <c r="G1362" s="315" t="s">
        <v>1193</v>
      </c>
      <c r="H1362" s="472">
        <v>60312158</v>
      </c>
      <c r="I1362" s="472">
        <v>582002</v>
      </c>
      <c r="J1362" s="2" t="s">
        <v>1</v>
      </c>
      <c r="K1362" s="452">
        <v>285000</v>
      </c>
      <c r="L1362" s="4"/>
      <c r="M1362" s="4"/>
      <c r="N1362" s="4"/>
      <c r="O1362" s="4"/>
      <c r="P1362" s="4"/>
      <c r="Q1362" s="445">
        <v>35000</v>
      </c>
      <c r="R1362" s="445">
        <v>35000</v>
      </c>
      <c r="S1362" s="453"/>
      <c r="T1362" s="453"/>
      <c r="U1362" s="445"/>
      <c r="V1362" s="419"/>
      <c r="W1362" s="445">
        <v>20000</v>
      </c>
      <c r="X1362" s="445">
        <v>20000</v>
      </c>
      <c r="Y1362" s="445">
        <v>20000</v>
      </c>
      <c r="Z1362" s="513">
        <v>20000</v>
      </c>
      <c r="AA1362" s="556">
        <v>20000</v>
      </c>
      <c r="AB1362" s="445">
        <v>20000</v>
      </c>
      <c r="AC1362" s="445">
        <v>20000</v>
      </c>
      <c r="AD1362" s="445">
        <v>20000</v>
      </c>
      <c r="AE1362" s="445">
        <v>20000</v>
      </c>
      <c r="AF1362" s="445">
        <v>20000</v>
      </c>
      <c r="AG1362" s="445">
        <v>20000</v>
      </c>
      <c r="AH1362" s="445">
        <v>20000</v>
      </c>
      <c r="AI1362" s="445">
        <v>15000</v>
      </c>
      <c r="AJ1362" s="445">
        <v>15000</v>
      </c>
      <c r="AK1362" s="445">
        <v>15000</v>
      </c>
      <c r="AL1362" s="2" t="s">
        <v>11</v>
      </c>
      <c r="AM1362" s="419"/>
      <c r="AN1362" s="419"/>
      <c r="AO1362" s="419"/>
      <c r="AP1362" s="419"/>
      <c r="AQ1362" s="424"/>
      <c r="AR1362" s="424"/>
      <c r="AS1362" s="4"/>
      <c r="AT1362" s="4"/>
    </row>
    <row r="1363" spans="1:46" s="446" customFormat="1" x14ac:dyDescent="0.25">
      <c r="A1363" s="400" t="s">
        <v>1229</v>
      </c>
      <c r="B1363" s="26"/>
      <c r="C1363" s="26"/>
      <c r="D1363" s="454"/>
      <c r="E1363" s="24" t="s">
        <v>12</v>
      </c>
      <c r="F1363" s="15"/>
      <c r="G1363" s="148" t="s">
        <v>1194</v>
      </c>
      <c r="H1363" s="148" t="s">
        <v>1107</v>
      </c>
      <c r="I1363" s="148"/>
      <c r="J1363" s="17" t="s">
        <v>2</v>
      </c>
      <c r="K1363" s="447">
        <v>82134.03</v>
      </c>
      <c r="L1363" s="11"/>
      <c r="M1363" s="11"/>
      <c r="N1363" s="11"/>
      <c r="O1363" s="11"/>
      <c r="P1363" s="11"/>
      <c r="Q1363" s="445">
        <v>41013</v>
      </c>
      <c r="R1363" s="445">
        <v>39525</v>
      </c>
      <c r="S1363" s="453"/>
      <c r="T1363" s="453"/>
      <c r="U1363" s="445"/>
      <c r="V1363" s="448"/>
      <c r="W1363" s="445">
        <f>5809.03+5975</f>
        <v>11784.029999999999</v>
      </c>
      <c r="X1363" s="445">
        <f>5475+5475</f>
        <v>10950</v>
      </c>
      <c r="Y1363" s="445">
        <f>4975+4975</f>
        <v>9950</v>
      </c>
      <c r="Z1363" s="513">
        <f>4475+4475</f>
        <v>8950</v>
      </c>
      <c r="AA1363" s="556">
        <f>3975+3975</f>
        <v>7950</v>
      </c>
      <c r="AB1363" s="445">
        <f>3475+3475</f>
        <v>6950</v>
      </c>
      <c r="AC1363" s="445">
        <f>2975+2975</f>
        <v>5950</v>
      </c>
      <c r="AD1363" s="445">
        <f>2475+2475</f>
        <v>4950</v>
      </c>
      <c r="AE1363" s="445">
        <f>2075+2075</f>
        <v>4150</v>
      </c>
      <c r="AF1363" s="445">
        <f>1675+1675</f>
        <v>3350</v>
      </c>
      <c r="AG1363" s="445">
        <f>1275+1275</f>
        <v>2550</v>
      </c>
      <c r="AH1363" s="445">
        <f>975+975</f>
        <v>1950</v>
      </c>
      <c r="AI1363" s="445">
        <f>675+675</f>
        <v>1350</v>
      </c>
      <c r="AJ1363" s="445">
        <f>450+450</f>
        <v>900</v>
      </c>
      <c r="AK1363" s="445">
        <f>225+225</f>
        <v>450</v>
      </c>
      <c r="AL1363" s="17" t="s">
        <v>11</v>
      </c>
      <c r="AM1363" s="419"/>
      <c r="AN1363" s="419"/>
      <c r="AO1363" s="419"/>
      <c r="AP1363" s="419"/>
      <c r="AQ1363" s="418"/>
      <c r="AR1363" s="418"/>
      <c r="AS1363" s="11"/>
      <c r="AT1363" s="11"/>
    </row>
    <row r="1364" spans="1:46" s="450" customFormat="1" ht="13.8" thickBot="1" x14ac:dyDescent="0.3">
      <c r="A1364" s="120"/>
      <c r="B1364" s="120"/>
      <c r="C1364" s="120"/>
      <c r="D1364" s="455"/>
      <c r="E1364" s="88" t="s">
        <v>14</v>
      </c>
      <c r="F1364" s="88" t="s">
        <v>406</v>
      </c>
      <c r="G1364" s="149" t="s">
        <v>1140</v>
      </c>
      <c r="H1364" s="143"/>
      <c r="I1364" s="143"/>
      <c r="J1364" s="450" t="s">
        <v>5</v>
      </c>
      <c r="K1364" s="451">
        <f>K1363+K1362</f>
        <v>367134.03</v>
      </c>
      <c r="L1364" s="43"/>
      <c r="M1364" s="43"/>
      <c r="N1364" s="43"/>
      <c r="O1364" s="43"/>
      <c r="P1364" s="43"/>
      <c r="Q1364" s="413">
        <f>Q1363+Q1362</f>
        <v>76013</v>
      </c>
      <c r="R1364" s="413">
        <f>R1363+R1362</f>
        <v>74525</v>
      </c>
      <c r="S1364" s="43">
        <f>S1363+S1362</f>
        <v>0</v>
      </c>
      <c r="T1364" s="43"/>
      <c r="U1364" s="413">
        <f>U1363+U1362</f>
        <v>0</v>
      </c>
      <c r="V1364" s="412"/>
      <c r="W1364" s="412">
        <f t="shared" ref="W1364:AK1364" si="1084">W1363+W1362</f>
        <v>31784.03</v>
      </c>
      <c r="X1364" s="412">
        <f t="shared" si="1084"/>
        <v>30950</v>
      </c>
      <c r="Y1364" s="412">
        <f t="shared" si="1084"/>
        <v>29950</v>
      </c>
      <c r="Z1364" s="510">
        <f t="shared" si="1084"/>
        <v>28950</v>
      </c>
      <c r="AA1364" s="553">
        <f t="shared" si="1084"/>
        <v>27950</v>
      </c>
      <c r="AB1364" s="412">
        <f t="shared" si="1084"/>
        <v>26950</v>
      </c>
      <c r="AC1364" s="412">
        <f t="shared" si="1084"/>
        <v>25950</v>
      </c>
      <c r="AD1364" s="412">
        <f t="shared" si="1084"/>
        <v>24950</v>
      </c>
      <c r="AE1364" s="412">
        <f t="shared" si="1084"/>
        <v>24150</v>
      </c>
      <c r="AF1364" s="412">
        <f t="shared" si="1084"/>
        <v>23350</v>
      </c>
      <c r="AG1364" s="412">
        <f t="shared" si="1084"/>
        <v>22550</v>
      </c>
      <c r="AH1364" s="412">
        <f t="shared" si="1084"/>
        <v>21950</v>
      </c>
      <c r="AI1364" s="412">
        <f t="shared" si="1084"/>
        <v>16350</v>
      </c>
      <c r="AJ1364" s="412">
        <f t="shared" si="1084"/>
        <v>15900</v>
      </c>
      <c r="AK1364" s="412">
        <f t="shared" si="1084"/>
        <v>15450</v>
      </c>
      <c r="AL1364" s="41" t="s">
        <v>11</v>
      </c>
      <c r="AM1364" s="412"/>
      <c r="AN1364" s="412"/>
      <c r="AO1364" s="412"/>
      <c r="AP1364" s="412"/>
      <c r="AQ1364" s="412"/>
      <c r="AR1364" s="412"/>
      <c r="AS1364" s="43"/>
      <c r="AT1364" s="43"/>
    </row>
    <row r="1365" spans="1:46" s="446" customFormat="1" x14ac:dyDescent="0.25">
      <c r="A1365" s="380" t="s">
        <v>0</v>
      </c>
      <c r="B1365" s="26" t="s">
        <v>96</v>
      </c>
      <c r="C1365" s="444"/>
      <c r="D1365" s="332" t="s">
        <v>0</v>
      </c>
      <c r="E1365" s="466">
        <v>44657</v>
      </c>
      <c r="F1365" s="24" t="s">
        <v>266</v>
      </c>
      <c r="G1365" s="315" t="s">
        <v>1195</v>
      </c>
      <c r="H1365" s="472">
        <v>60312158</v>
      </c>
      <c r="I1365" s="472">
        <v>582033</v>
      </c>
      <c r="J1365" s="2" t="s">
        <v>1</v>
      </c>
      <c r="K1365" s="452">
        <v>885000</v>
      </c>
      <c r="L1365" s="4"/>
      <c r="M1365" s="4"/>
      <c r="N1365" s="4"/>
      <c r="O1365" s="4"/>
      <c r="P1365" s="4"/>
      <c r="Q1365" s="445">
        <v>35000</v>
      </c>
      <c r="R1365" s="445">
        <v>35000</v>
      </c>
      <c r="S1365" s="453"/>
      <c r="T1365" s="453"/>
      <c r="U1365" s="445"/>
      <c r="V1365" s="419"/>
      <c r="W1365" s="445">
        <v>45000</v>
      </c>
      <c r="X1365" s="445">
        <v>45000</v>
      </c>
      <c r="Y1365" s="445">
        <v>45000</v>
      </c>
      <c r="Z1365" s="513">
        <v>45000</v>
      </c>
      <c r="AA1365" s="556">
        <v>45000</v>
      </c>
      <c r="AB1365" s="445">
        <v>45000</v>
      </c>
      <c r="AC1365" s="445">
        <v>45000</v>
      </c>
      <c r="AD1365" s="445">
        <v>45000</v>
      </c>
      <c r="AE1365" s="445">
        <v>45000</v>
      </c>
      <c r="AF1365" s="445">
        <v>45000</v>
      </c>
      <c r="AG1365" s="445">
        <v>45000</v>
      </c>
      <c r="AH1365" s="445">
        <v>45000</v>
      </c>
      <c r="AI1365" s="445">
        <v>45000</v>
      </c>
      <c r="AJ1365" s="445">
        <v>45000</v>
      </c>
      <c r="AK1365" s="445">
        <v>45000</v>
      </c>
      <c r="AL1365" s="445">
        <v>45000</v>
      </c>
      <c r="AM1365" s="445">
        <v>45000</v>
      </c>
      <c r="AN1365" s="445">
        <v>40000</v>
      </c>
      <c r="AO1365" s="445">
        <v>40000</v>
      </c>
      <c r="AP1365" s="445">
        <v>40000</v>
      </c>
      <c r="AQ1365" s="2" t="s">
        <v>11</v>
      </c>
      <c r="AR1365" s="424"/>
      <c r="AS1365" s="4"/>
      <c r="AT1365" s="4"/>
    </row>
    <row r="1366" spans="1:46" s="446" customFormat="1" x14ac:dyDescent="0.25">
      <c r="A1366" s="400" t="s">
        <v>1226</v>
      </c>
      <c r="B1366" s="26"/>
      <c r="C1366" s="26"/>
      <c r="D1366" s="454"/>
      <c r="E1366" s="24" t="s">
        <v>12</v>
      </c>
      <c r="F1366" s="15"/>
      <c r="G1366" s="148" t="s">
        <v>1196</v>
      </c>
      <c r="H1366" s="148" t="s">
        <v>1108</v>
      </c>
      <c r="I1366" s="148"/>
      <c r="J1366" s="17" t="s">
        <v>2</v>
      </c>
      <c r="K1366" s="447">
        <v>315628.39</v>
      </c>
      <c r="L1366" s="11"/>
      <c r="M1366" s="11"/>
      <c r="N1366" s="11"/>
      <c r="O1366" s="11"/>
      <c r="P1366" s="11"/>
      <c r="Q1366" s="445">
        <v>41013</v>
      </c>
      <c r="R1366" s="445">
        <v>39525</v>
      </c>
      <c r="S1366" s="453"/>
      <c r="T1366" s="453"/>
      <c r="U1366" s="445"/>
      <c r="V1366" s="448"/>
      <c r="W1366" s="477">
        <f>16725.26+17203.13</f>
        <v>33928.39</v>
      </c>
      <c r="X1366" s="445">
        <f>16078.13+16078.12</f>
        <v>32156.25</v>
      </c>
      <c r="Y1366" s="445">
        <f>14953.13+14953.12</f>
        <v>29906.25</v>
      </c>
      <c r="Z1366" s="513">
        <f>13825.13+13828.12</f>
        <v>27653.25</v>
      </c>
      <c r="AA1366" s="556">
        <f>12703.13+12703.12</f>
        <v>25406.25</v>
      </c>
      <c r="AB1366" s="445">
        <f>11578.13+11578.12</f>
        <v>23156.25</v>
      </c>
      <c r="AC1366" s="445">
        <f>10453.13+10453.12</f>
        <v>20906.25</v>
      </c>
      <c r="AD1366" s="445">
        <f>9328.13+9328.12</f>
        <v>18656.25</v>
      </c>
      <c r="AE1366" s="445">
        <f>8428.13+8428.12</f>
        <v>16856.25</v>
      </c>
      <c r="AF1366" s="445">
        <f>7528.13+7528.12</f>
        <v>15056.25</v>
      </c>
      <c r="AG1366" s="445">
        <f>6628.13+6628.12</f>
        <v>13256.25</v>
      </c>
      <c r="AH1366" s="445">
        <f>5953.13+5953.12</f>
        <v>11906.25</v>
      </c>
      <c r="AI1366" s="445">
        <f>5278.13+5278.12</f>
        <v>10556.25</v>
      </c>
      <c r="AJ1366" s="445">
        <f>4603.13+4603.12</f>
        <v>9206.25</v>
      </c>
      <c r="AK1366" s="445">
        <f>3928.13+3928.12</f>
        <v>7856.25</v>
      </c>
      <c r="AL1366" s="445">
        <f>3253.13+3253.12</f>
        <v>6506.25</v>
      </c>
      <c r="AM1366" s="445">
        <f>2578.13+2578.12</f>
        <v>5156.25</v>
      </c>
      <c r="AN1366" s="445">
        <f>1875+1875</f>
        <v>3750</v>
      </c>
      <c r="AO1366" s="445">
        <f>1250+1250</f>
        <v>2500</v>
      </c>
      <c r="AP1366" s="445">
        <f>625+625.01</f>
        <v>1250.01</v>
      </c>
      <c r="AQ1366" s="17" t="s">
        <v>11</v>
      </c>
      <c r="AR1366" s="418"/>
      <c r="AS1366" s="11"/>
      <c r="AT1366" s="11"/>
    </row>
    <row r="1367" spans="1:46" s="450" customFormat="1" ht="13.8" thickBot="1" x14ac:dyDescent="0.3">
      <c r="A1367" s="120"/>
      <c r="B1367" s="120"/>
      <c r="C1367" s="120"/>
      <c r="D1367" s="455"/>
      <c r="E1367" s="88" t="s">
        <v>14</v>
      </c>
      <c r="F1367" s="88" t="s">
        <v>406</v>
      </c>
      <c r="G1367" s="149" t="s">
        <v>1299</v>
      </c>
      <c r="H1367" s="143"/>
      <c r="I1367" s="143"/>
      <c r="J1367" s="450" t="s">
        <v>5</v>
      </c>
      <c r="K1367" s="451">
        <f>K1366+K1365</f>
        <v>1200628.3900000001</v>
      </c>
      <c r="L1367" s="43"/>
      <c r="M1367" s="43"/>
      <c r="N1367" s="43"/>
      <c r="O1367" s="43"/>
      <c r="P1367" s="43"/>
      <c r="Q1367" s="413">
        <f>Q1366+Q1365</f>
        <v>76013</v>
      </c>
      <c r="R1367" s="413">
        <f>R1366+R1365</f>
        <v>74525</v>
      </c>
      <c r="S1367" s="43">
        <f>S1366+S1365</f>
        <v>0</v>
      </c>
      <c r="T1367" s="43"/>
      <c r="U1367" s="413">
        <f>U1366+U1365</f>
        <v>0</v>
      </c>
      <c r="V1367" s="412"/>
      <c r="W1367" s="412">
        <f t="shared" ref="W1367:AP1367" si="1085">W1366+W1365</f>
        <v>78928.39</v>
      </c>
      <c r="X1367" s="412">
        <f t="shared" si="1085"/>
        <v>77156.25</v>
      </c>
      <c r="Y1367" s="412">
        <f t="shared" si="1085"/>
        <v>74906.25</v>
      </c>
      <c r="Z1367" s="510">
        <f t="shared" si="1085"/>
        <v>72653.25</v>
      </c>
      <c r="AA1367" s="553">
        <f t="shared" si="1085"/>
        <v>70406.25</v>
      </c>
      <c r="AB1367" s="412">
        <f t="shared" si="1085"/>
        <v>68156.25</v>
      </c>
      <c r="AC1367" s="412">
        <f t="shared" si="1085"/>
        <v>65906.25</v>
      </c>
      <c r="AD1367" s="412">
        <f t="shared" si="1085"/>
        <v>63656.25</v>
      </c>
      <c r="AE1367" s="412">
        <f t="shared" si="1085"/>
        <v>61856.25</v>
      </c>
      <c r="AF1367" s="412">
        <f t="shared" si="1085"/>
        <v>60056.25</v>
      </c>
      <c r="AG1367" s="412">
        <f t="shared" si="1085"/>
        <v>58256.25</v>
      </c>
      <c r="AH1367" s="412">
        <f t="shared" si="1085"/>
        <v>56906.25</v>
      </c>
      <c r="AI1367" s="412">
        <f t="shared" si="1085"/>
        <v>55556.25</v>
      </c>
      <c r="AJ1367" s="412">
        <f t="shared" si="1085"/>
        <v>54206.25</v>
      </c>
      <c r="AK1367" s="412">
        <f t="shared" si="1085"/>
        <v>52856.25</v>
      </c>
      <c r="AL1367" s="412">
        <f t="shared" si="1085"/>
        <v>51506.25</v>
      </c>
      <c r="AM1367" s="412">
        <f t="shared" si="1085"/>
        <v>50156.25</v>
      </c>
      <c r="AN1367" s="412">
        <f t="shared" si="1085"/>
        <v>43750</v>
      </c>
      <c r="AO1367" s="412">
        <f t="shared" si="1085"/>
        <v>42500</v>
      </c>
      <c r="AP1367" s="412">
        <f t="shared" si="1085"/>
        <v>41250.01</v>
      </c>
      <c r="AQ1367" s="41" t="s">
        <v>11</v>
      </c>
      <c r="AR1367" s="412"/>
      <c r="AS1367" s="43"/>
      <c r="AT1367" s="43"/>
    </row>
    <row r="1368" spans="1:46" s="446" customFormat="1" x14ac:dyDescent="0.25">
      <c r="A1368" s="380" t="s">
        <v>0</v>
      </c>
      <c r="B1368" s="26" t="s">
        <v>96</v>
      </c>
      <c r="C1368" s="444"/>
      <c r="D1368" s="332" t="s">
        <v>0</v>
      </c>
      <c r="E1368" s="466">
        <v>44657</v>
      </c>
      <c r="F1368" s="24" t="s">
        <v>266</v>
      </c>
      <c r="G1368" s="315" t="s">
        <v>113</v>
      </c>
      <c r="H1368" s="472">
        <v>60310287</v>
      </c>
      <c r="I1368" s="315">
        <v>584009</v>
      </c>
      <c r="J1368" s="2" t="s">
        <v>1</v>
      </c>
      <c r="K1368" s="452">
        <v>960000</v>
      </c>
      <c r="L1368" s="4"/>
      <c r="M1368" s="4"/>
      <c r="N1368" s="4"/>
      <c r="O1368" s="4"/>
      <c r="P1368" s="4"/>
      <c r="Q1368" s="445">
        <v>35000</v>
      </c>
      <c r="R1368" s="445">
        <v>35000</v>
      </c>
      <c r="S1368" s="453"/>
      <c r="T1368" s="453"/>
      <c r="U1368" s="445"/>
      <c r="V1368" s="419"/>
      <c r="W1368" s="445">
        <v>50000</v>
      </c>
      <c r="X1368" s="445">
        <v>50000</v>
      </c>
      <c r="Y1368" s="445">
        <v>50000</v>
      </c>
      <c r="Z1368" s="513">
        <v>50000</v>
      </c>
      <c r="AA1368" s="556">
        <v>50000</v>
      </c>
      <c r="AB1368" s="445">
        <v>50000</v>
      </c>
      <c r="AC1368" s="445">
        <v>50000</v>
      </c>
      <c r="AD1368" s="445">
        <v>50000</v>
      </c>
      <c r="AE1368" s="445">
        <v>50000</v>
      </c>
      <c r="AF1368" s="445">
        <v>50000</v>
      </c>
      <c r="AG1368" s="445">
        <v>50000</v>
      </c>
      <c r="AH1368" s="445">
        <v>50000</v>
      </c>
      <c r="AI1368" s="445">
        <v>45000</v>
      </c>
      <c r="AJ1368" s="445">
        <v>45000</v>
      </c>
      <c r="AK1368" s="445">
        <v>45000</v>
      </c>
      <c r="AL1368" s="445">
        <v>45000</v>
      </c>
      <c r="AM1368" s="445">
        <v>45000</v>
      </c>
      <c r="AN1368" s="445">
        <v>45000</v>
      </c>
      <c r="AO1368" s="445">
        <v>45000</v>
      </c>
      <c r="AP1368" s="445">
        <v>45000</v>
      </c>
      <c r="AQ1368" s="2" t="s">
        <v>11</v>
      </c>
      <c r="AR1368" s="424"/>
      <c r="AS1368" s="4"/>
      <c r="AT1368" s="4"/>
    </row>
    <row r="1369" spans="1:46" s="446" customFormat="1" x14ac:dyDescent="0.25">
      <c r="A1369" s="400" t="s">
        <v>1227</v>
      </c>
      <c r="B1369" s="26"/>
      <c r="C1369" s="26"/>
      <c r="D1369" s="454"/>
      <c r="E1369" s="24" t="s">
        <v>12</v>
      </c>
      <c r="F1369" s="15"/>
      <c r="G1369" s="15" t="s">
        <v>1202</v>
      </c>
      <c r="H1369" s="148" t="s">
        <v>1108</v>
      </c>
      <c r="I1369" s="15"/>
      <c r="J1369" s="17" t="s">
        <v>2</v>
      </c>
      <c r="K1369" s="447">
        <v>340341.32</v>
      </c>
      <c r="L1369" s="11"/>
      <c r="M1369" s="11"/>
      <c r="N1369" s="11"/>
      <c r="O1369" s="11"/>
      <c r="P1369" s="11"/>
      <c r="Q1369" s="445">
        <v>41013</v>
      </c>
      <c r="R1369" s="445">
        <v>39525</v>
      </c>
      <c r="S1369" s="453"/>
      <c r="T1369" s="453"/>
      <c r="U1369" s="445"/>
      <c r="V1369" s="419"/>
      <c r="W1369" s="445">
        <f>18241.32+18762.5</f>
        <v>37003.82</v>
      </c>
      <c r="X1369" s="445">
        <f>17512.5+17512.5</f>
        <v>35025</v>
      </c>
      <c r="Y1369" s="445">
        <f>16262.5+16262.5</f>
        <v>32525</v>
      </c>
      <c r="Z1369" s="513">
        <f>15012.5+15012.5</f>
        <v>30025</v>
      </c>
      <c r="AA1369" s="556">
        <f>13762.5+13762.5</f>
        <v>27525</v>
      </c>
      <c r="AB1369" s="445">
        <f>12512.5+12512.5</f>
        <v>25025</v>
      </c>
      <c r="AC1369" s="445">
        <f>11262.5+11262.5</f>
        <v>22525</v>
      </c>
      <c r="AD1369" s="445">
        <f>10012.5+10012.5</f>
        <v>20025</v>
      </c>
      <c r="AE1369" s="445">
        <f>9012.5+9012.5</f>
        <v>18025</v>
      </c>
      <c r="AF1369" s="445">
        <f>8012.5+8012.5</f>
        <v>16025</v>
      </c>
      <c r="AG1369" s="445">
        <f>7012.5+7012.5</f>
        <v>14025</v>
      </c>
      <c r="AH1369" s="445">
        <f>6262.5+6262.5</f>
        <v>12525</v>
      </c>
      <c r="AI1369" s="445">
        <f>5512.5+5512.5</f>
        <v>11025</v>
      </c>
      <c r="AJ1369" s="445">
        <f>4837.5+4837.5</f>
        <v>9675</v>
      </c>
      <c r="AK1369" s="445">
        <f>4162.5+4162.5</f>
        <v>8325</v>
      </c>
      <c r="AL1369" s="445">
        <f>3487.5+3487.5</f>
        <v>6975</v>
      </c>
      <c r="AM1369" s="445">
        <f>2812.5+2812.5</f>
        <v>5625</v>
      </c>
      <c r="AN1369" s="445">
        <f>2109.38+2109.37</f>
        <v>4218.75</v>
      </c>
      <c r="AO1369" s="445">
        <f>1406.25+1406.25</f>
        <v>2812.5</v>
      </c>
      <c r="AP1369" s="445">
        <f>703.13+703.12</f>
        <v>1406.25</v>
      </c>
      <c r="AQ1369" s="17" t="s">
        <v>11</v>
      </c>
      <c r="AR1369" s="418"/>
      <c r="AS1369" s="11"/>
      <c r="AT1369" s="11"/>
    </row>
    <row r="1370" spans="1:46" s="450" customFormat="1" ht="13.8" thickBot="1" x14ac:dyDescent="0.3">
      <c r="A1370" s="120"/>
      <c r="B1370" s="120"/>
      <c r="C1370" s="120"/>
      <c r="D1370" s="455"/>
      <c r="E1370" s="88" t="s">
        <v>14</v>
      </c>
      <c r="F1370" s="88" t="s">
        <v>406</v>
      </c>
      <c r="G1370" s="149" t="s">
        <v>1203</v>
      </c>
      <c r="H1370" s="143"/>
      <c r="I1370" s="143"/>
      <c r="J1370" s="450" t="s">
        <v>5</v>
      </c>
      <c r="K1370" s="451">
        <f>K1369+K1368</f>
        <v>1300341.32</v>
      </c>
      <c r="L1370" s="43"/>
      <c r="M1370" s="43"/>
      <c r="N1370" s="43"/>
      <c r="O1370" s="43"/>
      <c r="P1370" s="43"/>
      <c r="Q1370" s="413">
        <f>Q1369+Q1368</f>
        <v>76013</v>
      </c>
      <c r="R1370" s="413">
        <f>R1369+R1368</f>
        <v>74525</v>
      </c>
      <c r="S1370" s="43">
        <f>S1369+S1368</f>
        <v>0</v>
      </c>
      <c r="T1370" s="43"/>
      <c r="U1370" s="413">
        <f t="shared" ref="U1370" si="1086">U1369+U1368</f>
        <v>0</v>
      </c>
      <c r="V1370" s="412"/>
      <c r="W1370" s="412">
        <f t="shared" ref="W1370:AP1370" si="1087">W1369+W1368</f>
        <v>87003.82</v>
      </c>
      <c r="X1370" s="412">
        <f t="shared" si="1087"/>
        <v>85025</v>
      </c>
      <c r="Y1370" s="412">
        <f t="shared" si="1087"/>
        <v>82525</v>
      </c>
      <c r="Z1370" s="510">
        <f t="shared" si="1087"/>
        <v>80025</v>
      </c>
      <c r="AA1370" s="553">
        <f t="shared" si="1087"/>
        <v>77525</v>
      </c>
      <c r="AB1370" s="412">
        <f t="shared" si="1087"/>
        <v>75025</v>
      </c>
      <c r="AC1370" s="412">
        <f t="shared" si="1087"/>
        <v>72525</v>
      </c>
      <c r="AD1370" s="412">
        <f t="shared" si="1087"/>
        <v>70025</v>
      </c>
      <c r="AE1370" s="412">
        <f t="shared" si="1087"/>
        <v>68025</v>
      </c>
      <c r="AF1370" s="412">
        <f t="shared" si="1087"/>
        <v>66025</v>
      </c>
      <c r="AG1370" s="412">
        <f t="shared" si="1087"/>
        <v>64025</v>
      </c>
      <c r="AH1370" s="412">
        <f t="shared" si="1087"/>
        <v>62525</v>
      </c>
      <c r="AI1370" s="412">
        <f t="shared" si="1087"/>
        <v>56025</v>
      </c>
      <c r="AJ1370" s="412">
        <f t="shared" si="1087"/>
        <v>54675</v>
      </c>
      <c r="AK1370" s="412">
        <f t="shared" si="1087"/>
        <v>53325</v>
      </c>
      <c r="AL1370" s="412">
        <f t="shared" si="1087"/>
        <v>51975</v>
      </c>
      <c r="AM1370" s="412">
        <f t="shared" si="1087"/>
        <v>50625</v>
      </c>
      <c r="AN1370" s="412">
        <f t="shared" si="1087"/>
        <v>49218.75</v>
      </c>
      <c r="AO1370" s="412">
        <f t="shared" si="1087"/>
        <v>47812.5</v>
      </c>
      <c r="AP1370" s="412">
        <f t="shared" si="1087"/>
        <v>46406.25</v>
      </c>
      <c r="AQ1370" s="41" t="s">
        <v>11</v>
      </c>
      <c r="AR1370" s="412"/>
      <c r="AS1370" s="43"/>
      <c r="AT1370" s="43"/>
    </row>
    <row r="1371" spans="1:46" s="8" customFormat="1" x14ac:dyDescent="0.25">
      <c r="A1371" s="121"/>
      <c r="B1371" s="121"/>
      <c r="C1371" s="306"/>
      <c r="D1371" s="332"/>
      <c r="E1371" s="332"/>
      <c r="F1371" s="332"/>
      <c r="G1371" s="13" t="s">
        <v>33</v>
      </c>
      <c r="H1371" s="13">
        <v>60774619</v>
      </c>
      <c r="I1371" s="13">
        <v>591100</v>
      </c>
      <c r="J1371" s="14" t="s">
        <v>1</v>
      </c>
      <c r="K1371" s="29">
        <f>K1356+K1359+K1362+K1365+K1368</f>
        <v>2910000</v>
      </c>
      <c r="L1371" s="7"/>
      <c r="M1371" s="7"/>
      <c r="N1371" s="67"/>
      <c r="O1371" s="67"/>
      <c r="P1371" s="67"/>
      <c r="Q1371" s="67"/>
      <c r="R1371" s="67"/>
      <c r="S1371" s="67"/>
      <c r="T1371" s="67">
        <f t="shared" ref="T1371:T1372" si="1088">T1368</f>
        <v>0</v>
      </c>
      <c r="U1371" s="67">
        <f>U1368</f>
        <v>0</v>
      </c>
      <c r="V1371" s="67"/>
      <c r="W1371" s="67">
        <f>W1356+W1359+W1362+W1365+W1368</f>
        <v>170000</v>
      </c>
      <c r="X1371" s="67">
        <f>X1356+X1359+X1362+X1365+X1368</f>
        <v>170000</v>
      </c>
      <c r="Y1371" s="67">
        <f t="shared" ref="Y1371:AK1371" si="1089">Y1356+Y1359+Y1362+Y1365+Y1368</f>
        <v>170000</v>
      </c>
      <c r="Z1371" s="507">
        <f t="shared" si="1089"/>
        <v>165000</v>
      </c>
      <c r="AA1371" s="546">
        <f t="shared" si="1089"/>
        <v>165000</v>
      </c>
      <c r="AB1371" s="67">
        <f t="shared" si="1089"/>
        <v>165000</v>
      </c>
      <c r="AC1371" s="67">
        <f t="shared" si="1089"/>
        <v>165000</v>
      </c>
      <c r="AD1371" s="67">
        <f t="shared" si="1089"/>
        <v>165000</v>
      </c>
      <c r="AE1371" s="67">
        <f t="shared" si="1089"/>
        <v>160000</v>
      </c>
      <c r="AF1371" s="67">
        <f t="shared" si="1089"/>
        <v>160000</v>
      </c>
      <c r="AG1371" s="67">
        <f t="shared" si="1089"/>
        <v>160000</v>
      </c>
      <c r="AH1371" s="67">
        <f t="shared" si="1089"/>
        <v>160000</v>
      </c>
      <c r="AI1371" s="67">
        <f t="shared" si="1089"/>
        <v>150000</v>
      </c>
      <c r="AJ1371" s="67">
        <f t="shared" si="1089"/>
        <v>150000</v>
      </c>
      <c r="AK1371" s="67">
        <f t="shared" si="1089"/>
        <v>150000</v>
      </c>
      <c r="AL1371" s="67">
        <f>AL1356+AL1365+AL1368</f>
        <v>100000</v>
      </c>
      <c r="AM1371" s="67">
        <f t="shared" ref="AM1371:AP1371" si="1090">AM1356+AM1365+AM1368</f>
        <v>100000</v>
      </c>
      <c r="AN1371" s="67">
        <f t="shared" si="1090"/>
        <v>95000</v>
      </c>
      <c r="AO1371" s="67">
        <f t="shared" si="1090"/>
        <v>95000</v>
      </c>
      <c r="AP1371" s="67">
        <f t="shared" si="1090"/>
        <v>95000</v>
      </c>
      <c r="AQ1371" s="3" t="s">
        <v>11</v>
      </c>
      <c r="AR1371" s="3"/>
      <c r="AS1371" s="3"/>
      <c r="AT1371" s="3"/>
    </row>
    <row r="1372" spans="1:46" s="8" customFormat="1" x14ac:dyDescent="0.25">
      <c r="A1372" s="121"/>
      <c r="B1372" s="121"/>
      <c r="C1372" s="306"/>
      <c r="D1372" s="14"/>
      <c r="E1372" s="14"/>
      <c r="F1372" s="14"/>
      <c r="G1372" s="14"/>
      <c r="H1372" s="13">
        <v>60774619</v>
      </c>
      <c r="I1372" s="14">
        <v>595100</v>
      </c>
      <c r="J1372" s="18" t="s">
        <v>2</v>
      </c>
      <c r="K1372" s="30">
        <f>K1357+K1360+K1363+K1366+K1369</f>
        <v>975032.21</v>
      </c>
      <c r="L1372" s="16"/>
      <c r="M1372" s="16"/>
      <c r="N1372" s="16"/>
      <c r="O1372" s="16"/>
      <c r="P1372" s="16"/>
      <c r="Q1372" s="16"/>
      <c r="R1372" s="16"/>
      <c r="S1372" s="16"/>
      <c r="T1372" s="16">
        <f t="shared" si="1088"/>
        <v>0</v>
      </c>
      <c r="U1372" s="7">
        <f>U1369</f>
        <v>0</v>
      </c>
      <c r="V1372" s="7"/>
      <c r="W1372" s="474">
        <f>W1369+W1366+W1363+W1360+W1357</f>
        <v>114419.70999999999</v>
      </c>
      <c r="X1372" s="7">
        <f>X1357+X1360+X1363+X1366+X1369</f>
        <v>107531.25</v>
      </c>
      <c r="Y1372" s="7">
        <f t="shared" ref="Y1372:AK1372" si="1091">Y1357+Y1360+Y1363+Y1366+Y1369</f>
        <v>99031.25</v>
      </c>
      <c r="Z1372" s="501">
        <f t="shared" si="1091"/>
        <v>90528.25</v>
      </c>
      <c r="AA1372" s="540">
        <f t="shared" si="1091"/>
        <v>82281.25</v>
      </c>
      <c r="AB1372" s="7">
        <f t="shared" si="1091"/>
        <v>74031.25</v>
      </c>
      <c r="AC1372" s="7">
        <f t="shared" si="1091"/>
        <v>65781.25</v>
      </c>
      <c r="AD1372" s="7">
        <f t="shared" si="1091"/>
        <v>57531.25</v>
      </c>
      <c r="AE1372" s="7">
        <f t="shared" si="1091"/>
        <v>50931.25</v>
      </c>
      <c r="AF1372" s="7">
        <f t="shared" si="1091"/>
        <v>44531.25</v>
      </c>
      <c r="AG1372" s="7">
        <f t="shared" si="1091"/>
        <v>38131.25</v>
      </c>
      <c r="AH1372" s="7">
        <f t="shared" si="1091"/>
        <v>33331.25</v>
      </c>
      <c r="AI1372" s="7">
        <f t="shared" si="1091"/>
        <v>28531.25</v>
      </c>
      <c r="AJ1372" s="7">
        <f t="shared" si="1091"/>
        <v>24031.25</v>
      </c>
      <c r="AK1372" s="7">
        <f t="shared" si="1091"/>
        <v>19531.25</v>
      </c>
      <c r="AL1372" s="7">
        <f>AL1357+AL1366+AL1369</f>
        <v>15031.25</v>
      </c>
      <c r="AM1372" s="7">
        <f t="shared" ref="AM1372:AP1372" si="1092">AM1357+AM1366+AM1369</f>
        <v>12031.25</v>
      </c>
      <c r="AN1372" s="7">
        <f t="shared" si="1092"/>
        <v>8906.25</v>
      </c>
      <c r="AO1372" s="7">
        <f t="shared" si="1092"/>
        <v>5937.5</v>
      </c>
      <c r="AP1372" s="7">
        <f t="shared" si="1092"/>
        <v>2968.76</v>
      </c>
      <c r="AQ1372" s="20" t="s">
        <v>11</v>
      </c>
      <c r="AR1372" s="20"/>
      <c r="AS1372" s="20"/>
      <c r="AT1372" s="20"/>
    </row>
    <row r="1373" spans="1:46" s="8" customFormat="1" ht="13.8" thickBot="1" x14ac:dyDescent="0.3">
      <c r="A1373" s="122"/>
      <c r="B1373" s="122"/>
      <c r="C1373" s="307"/>
      <c r="D1373" s="87"/>
      <c r="E1373" s="87"/>
      <c r="F1373" s="87"/>
      <c r="G1373" s="149" t="s">
        <v>1296</v>
      </c>
      <c r="H1373" s="87"/>
      <c r="I1373" s="87"/>
      <c r="J1373" s="50" t="s">
        <v>5</v>
      </c>
      <c r="K1373" s="51">
        <f>K1372+K1371</f>
        <v>3885032.21</v>
      </c>
      <c r="L1373" s="46"/>
      <c r="M1373" s="46"/>
      <c r="N1373" s="46"/>
      <c r="O1373" s="46"/>
      <c r="P1373" s="46"/>
      <c r="Q1373" s="46"/>
      <c r="R1373" s="46"/>
      <c r="S1373" s="46"/>
      <c r="T1373" s="46">
        <f t="shared" ref="T1373:U1373" si="1093">T1372+T1371</f>
        <v>0</v>
      </c>
      <c r="U1373" s="46">
        <f t="shared" si="1093"/>
        <v>0</v>
      </c>
      <c r="V1373" s="46"/>
      <c r="W1373" s="46">
        <f t="shared" ref="W1373:AP1373" si="1094">W1372+W1371</f>
        <v>284419.70999999996</v>
      </c>
      <c r="X1373" s="46">
        <f t="shared" si="1094"/>
        <v>277531.25</v>
      </c>
      <c r="Y1373" s="46">
        <f t="shared" si="1094"/>
        <v>269031.25</v>
      </c>
      <c r="Z1373" s="503">
        <f t="shared" si="1094"/>
        <v>255528.25</v>
      </c>
      <c r="AA1373" s="542">
        <f t="shared" si="1094"/>
        <v>247281.25</v>
      </c>
      <c r="AB1373" s="46">
        <f t="shared" si="1094"/>
        <v>239031.25</v>
      </c>
      <c r="AC1373" s="46">
        <f t="shared" si="1094"/>
        <v>230781.25</v>
      </c>
      <c r="AD1373" s="46">
        <f t="shared" si="1094"/>
        <v>222531.25</v>
      </c>
      <c r="AE1373" s="46">
        <f t="shared" si="1094"/>
        <v>210931.25</v>
      </c>
      <c r="AF1373" s="46">
        <f t="shared" si="1094"/>
        <v>204531.25</v>
      </c>
      <c r="AG1373" s="46">
        <f t="shared" si="1094"/>
        <v>198131.25</v>
      </c>
      <c r="AH1373" s="46">
        <f t="shared" si="1094"/>
        <v>193331.25</v>
      </c>
      <c r="AI1373" s="46">
        <f t="shared" si="1094"/>
        <v>178531.25</v>
      </c>
      <c r="AJ1373" s="46">
        <f t="shared" si="1094"/>
        <v>174031.25</v>
      </c>
      <c r="AK1373" s="46">
        <f t="shared" si="1094"/>
        <v>169531.25</v>
      </c>
      <c r="AL1373" s="46">
        <f t="shared" si="1094"/>
        <v>115031.25</v>
      </c>
      <c r="AM1373" s="46">
        <f t="shared" si="1094"/>
        <v>112031.25</v>
      </c>
      <c r="AN1373" s="46">
        <f t="shared" si="1094"/>
        <v>103906.25</v>
      </c>
      <c r="AO1373" s="46">
        <f t="shared" si="1094"/>
        <v>100937.5</v>
      </c>
      <c r="AP1373" s="46">
        <f t="shared" si="1094"/>
        <v>97968.76</v>
      </c>
      <c r="AQ1373" s="47" t="s">
        <v>11</v>
      </c>
      <c r="AR1373" s="47"/>
      <c r="AS1373" s="47"/>
      <c r="AT1373" s="47"/>
    </row>
    <row r="1374" spans="1:46" s="446" customFormat="1" x14ac:dyDescent="0.25">
      <c r="A1374" s="26" t="s">
        <v>4</v>
      </c>
      <c r="B1374" s="26" t="s">
        <v>97</v>
      </c>
      <c r="C1374" s="444"/>
      <c r="D1374" s="55" t="s">
        <v>4</v>
      </c>
      <c r="E1374" s="465">
        <v>44657</v>
      </c>
      <c r="F1374" s="25" t="s">
        <v>267</v>
      </c>
      <c r="G1374" s="316" t="s">
        <v>1295</v>
      </c>
      <c r="H1374" s="427">
        <v>61312216</v>
      </c>
      <c r="I1374" s="427">
        <v>582036</v>
      </c>
      <c r="J1374" s="2" t="s">
        <v>1</v>
      </c>
      <c r="K1374" s="27">
        <v>630000</v>
      </c>
      <c r="L1374" s="4"/>
      <c r="M1374" s="4"/>
      <c r="N1374" s="4"/>
      <c r="O1374" s="4"/>
      <c r="P1374" s="4"/>
      <c r="Q1374" s="4"/>
      <c r="R1374" s="426"/>
      <c r="S1374" s="426"/>
      <c r="T1374" s="426"/>
      <c r="U1374" s="445"/>
      <c r="V1374" s="419"/>
      <c r="W1374" s="445">
        <v>35000</v>
      </c>
      <c r="X1374" s="445">
        <v>35000</v>
      </c>
      <c r="Y1374" s="445">
        <v>35000</v>
      </c>
      <c r="Z1374" s="513">
        <v>35000</v>
      </c>
      <c r="AA1374" s="556">
        <v>35000</v>
      </c>
      <c r="AB1374" s="445">
        <v>35000</v>
      </c>
      <c r="AC1374" s="445">
        <v>30000</v>
      </c>
      <c r="AD1374" s="445">
        <v>30000</v>
      </c>
      <c r="AE1374" s="445">
        <v>30000</v>
      </c>
      <c r="AF1374" s="445">
        <v>30000</v>
      </c>
      <c r="AG1374" s="445">
        <v>30000</v>
      </c>
      <c r="AH1374" s="445">
        <v>30000</v>
      </c>
      <c r="AI1374" s="445">
        <v>30000</v>
      </c>
      <c r="AJ1374" s="445">
        <v>30000</v>
      </c>
      <c r="AK1374" s="445">
        <v>30000</v>
      </c>
      <c r="AL1374" s="445">
        <v>30000</v>
      </c>
      <c r="AM1374" s="445">
        <v>30000</v>
      </c>
      <c r="AN1374" s="445">
        <v>30000</v>
      </c>
      <c r="AO1374" s="445">
        <v>30000</v>
      </c>
      <c r="AP1374" s="445">
        <v>30000</v>
      </c>
      <c r="AQ1374" s="2" t="s">
        <v>11</v>
      </c>
      <c r="AR1374" s="424"/>
      <c r="AS1374" s="2"/>
      <c r="AT1374" s="2"/>
    </row>
    <row r="1375" spans="1:46" s="446" customFormat="1" x14ac:dyDescent="0.25">
      <c r="A1375" s="400" t="s">
        <v>1222</v>
      </c>
      <c r="B1375" s="26"/>
      <c r="C1375" s="444"/>
      <c r="D1375" s="55"/>
      <c r="E1375" s="317" t="s">
        <v>13</v>
      </c>
      <c r="F1375" s="25"/>
      <c r="G1375" s="402" t="s">
        <v>1159</v>
      </c>
      <c r="H1375" s="402" t="s">
        <v>1108</v>
      </c>
      <c r="I1375" s="12"/>
      <c r="J1375" s="17" t="s">
        <v>2</v>
      </c>
      <c r="K1375" s="447">
        <v>221581.25</v>
      </c>
      <c r="L1375" s="11"/>
      <c r="M1375" s="11"/>
      <c r="N1375" s="11"/>
      <c r="O1375" s="11"/>
      <c r="P1375" s="4"/>
      <c r="Q1375" s="4"/>
      <c r="R1375" s="426"/>
      <c r="S1375" s="426"/>
      <c r="T1375" s="426"/>
      <c r="U1375" s="445"/>
      <c r="V1375" s="448"/>
      <c r="W1375" s="445">
        <f>12031.25+12375</f>
        <v>24406.25</v>
      </c>
      <c r="X1375" s="445">
        <f>11500+11500</f>
        <v>23000</v>
      </c>
      <c r="Y1375" s="445">
        <f>10625+10625</f>
        <v>21250</v>
      </c>
      <c r="Z1375" s="513">
        <f>9750+9750</f>
        <v>19500</v>
      </c>
      <c r="AA1375" s="556">
        <f>8875+8875</f>
        <v>17750</v>
      </c>
      <c r="AB1375" s="445">
        <f>8000+8000</f>
        <v>16000</v>
      </c>
      <c r="AC1375" s="445">
        <f>7125+7125</f>
        <v>14250</v>
      </c>
      <c r="AD1375" s="445">
        <f>6375+6375</f>
        <v>12750</v>
      </c>
      <c r="AE1375" s="445">
        <f>5775+5775</f>
        <v>11550</v>
      </c>
      <c r="AF1375" s="445">
        <f>5175+5175</f>
        <v>10350</v>
      </c>
      <c r="AG1375" s="445">
        <f>4575+4575</f>
        <v>9150</v>
      </c>
      <c r="AH1375" s="445">
        <f>4125+4125</f>
        <v>8250</v>
      </c>
      <c r="AI1375" s="445">
        <f>3675+3675</f>
        <v>7350</v>
      </c>
      <c r="AJ1375" s="445">
        <f>3225+3225</f>
        <v>6450</v>
      </c>
      <c r="AK1375" s="445">
        <f>2775+2775</f>
        <v>5550</v>
      </c>
      <c r="AL1375" s="445">
        <f>2325+2325</f>
        <v>4650</v>
      </c>
      <c r="AM1375" s="445">
        <f>1875+1875</f>
        <v>3750</v>
      </c>
      <c r="AN1375" s="445">
        <f>1406.25+1406.25</f>
        <v>2812.5</v>
      </c>
      <c r="AO1375" s="445">
        <f>937.5+937.5</f>
        <v>1875</v>
      </c>
      <c r="AP1375" s="445">
        <f>468.75+468.75</f>
        <v>937.5</v>
      </c>
      <c r="AQ1375" s="17" t="s">
        <v>11</v>
      </c>
      <c r="AR1375" s="418"/>
      <c r="AS1375" s="17"/>
      <c r="AT1375" s="17"/>
    </row>
    <row r="1376" spans="1:46" s="450" customFormat="1" ht="13.8" thickBot="1" x14ac:dyDescent="0.3">
      <c r="A1376" s="120"/>
      <c r="B1376" s="120"/>
      <c r="C1376" s="120"/>
      <c r="D1376" s="91"/>
      <c r="E1376" s="144" t="s">
        <v>16</v>
      </c>
      <c r="F1376" s="398" t="s">
        <v>407</v>
      </c>
      <c r="G1376" s="449" t="s">
        <v>1216</v>
      </c>
      <c r="H1376" s="144"/>
      <c r="I1376" s="124"/>
      <c r="J1376" s="450" t="s">
        <v>5</v>
      </c>
      <c r="K1376" s="451">
        <f>K1375+K1374</f>
        <v>851581.25</v>
      </c>
      <c r="L1376" s="43"/>
      <c r="M1376" s="43"/>
      <c r="N1376" s="43"/>
      <c r="O1376" s="43"/>
      <c r="P1376" s="43">
        <f>P1375+P1374</f>
        <v>0</v>
      </c>
      <c r="Q1376" s="43"/>
      <c r="R1376" s="43">
        <f>R1375+R1374</f>
        <v>0</v>
      </c>
      <c r="S1376" s="43">
        <f>S1375+S1374</f>
        <v>0</v>
      </c>
      <c r="T1376" s="43"/>
      <c r="U1376" s="43">
        <f>U1375+U1374</f>
        <v>0</v>
      </c>
      <c r="V1376" s="412"/>
      <c r="W1376" s="412">
        <f>W1375+W1374</f>
        <v>59406.25</v>
      </c>
      <c r="X1376" s="412">
        <f>X1375+X1374</f>
        <v>58000</v>
      </c>
      <c r="Y1376" s="412">
        <f>Y1375+Y1374</f>
        <v>56250</v>
      </c>
      <c r="Z1376" s="510">
        <f>Z1375+Z1374</f>
        <v>54500</v>
      </c>
      <c r="AA1376" s="553">
        <f>AA1375+AA1374</f>
        <v>52750</v>
      </c>
      <c r="AB1376" s="412">
        <f t="shared" ref="AB1376:AP1376" si="1095">AB1375+AB1374</f>
        <v>51000</v>
      </c>
      <c r="AC1376" s="412">
        <f t="shared" si="1095"/>
        <v>44250</v>
      </c>
      <c r="AD1376" s="412">
        <f t="shared" si="1095"/>
        <v>42750</v>
      </c>
      <c r="AE1376" s="412">
        <f t="shared" si="1095"/>
        <v>41550</v>
      </c>
      <c r="AF1376" s="412">
        <f t="shared" si="1095"/>
        <v>40350</v>
      </c>
      <c r="AG1376" s="412">
        <f t="shared" si="1095"/>
        <v>39150</v>
      </c>
      <c r="AH1376" s="412">
        <f t="shared" si="1095"/>
        <v>38250</v>
      </c>
      <c r="AI1376" s="412">
        <f t="shared" si="1095"/>
        <v>37350</v>
      </c>
      <c r="AJ1376" s="412">
        <f t="shared" si="1095"/>
        <v>36450</v>
      </c>
      <c r="AK1376" s="412">
        <f t="shared" si="1095"/>
        <v>35550</v>
      </c>
      <c r="AL1376" s="412">
        <f t="shared" si="1095"/>
        <v>34650</v>
      </c>
      <c r="AM1376" s="412">
        <f t="shared" si="1095"/>
        <v>33750</v>
      </c>
      <c r="AN1376" s="412">
        <f t="shared" si="1095"/>
        <v>32812.5</v>
      </c>
      <c r="AO1376" s="412">
        <f t="shared" si="1095"/>
        <v>31875</v>
      </c>
      <c r="AP1376" s="412">
        <f t="shared" si="1095"/>
        <v>30937.5</v>
      </c>
      <c r="AQ1376" s="41" t="s">
        <v>11</v>
      </c>
      <c r="AR1376" s="411"/>
      <c r="AS1376" s="41"/>
      <c r="AT1376" s="41"/>
    </row>
    <row r="1377" spans="1:46" s="446" customFormat="1" x14ac:dyDescent="0.25">
      <c r="A1377" s="26" t="s">
        <v>4</v>
      </c>
      <c r="B1377" s="26" t="s">
        <v>97</v>
      </c>
      <c r="C1377" s="444"/>
      <c r="D1377" s="55" t="s">
        <v>4</v>
      </c>
      <c r="E1377" s="465">
        <v>44657</v>
      </c>
      <c r="F1377" s="25" t="s">
        <v>266</v>
      </c>
      <c r="G1377" s="314" t="s">
        <v>277</v>
      </c>
      <c r="H1377" s="428">
        <v>61312160</v>
      </c>
      <c r="I1377" s="428">
        <v>586102</v>
      </c>
      <c r="J1377" s="2" t="s">
        <v>1</v>
      </c>
      <c r="K1377" s="27">
        <v>135000</v>
      </c>
      <c r="L1377" s="4"/>
      <c r="M1377" s="4"/>
      <c r="N1377" s="4"/>
      <c r="O1377" s="4"/>
      <c r="P1377" s="4"/>
      <c r="Q1377" s="4"/>
      <c r="R1377" s="426"/>
      <c r="S1377" s="426"/>
      <c r="T1377" s="426"/>
      <c r="U1377" s="445"/>
      <c r="V1377" s="419"/>
      <c r="W1377" s="445">
        <v>15000</v>
      </c>
      <c r="X1377" s="445">
        <v>15000</v>
      </c>
      <c r="Y1377" s="445">
        <v>15000</v>
      </c>
      <c r="Z1377" s="513">
        <v>15000</v>
      </c>
      <c r="AA1377" s="556">
        <v>15000</v>
      </c>
      <c r="AB1377" s="445">
        <v>15000</v>
      </c>
      <c r="AC1377" s="445">
        <v>15000</v>
      </c>
      <c r="AD1377" s="445">
        <v>10000</v>
      </c>
      <c r="AE1377" s="445">
        <v>10000</v>
      </c>
      <c r="AF1377" s="445">
        <v>10000</v>
      </c>
      <c r="AG1377" s="2" t="s">
        <v>11</v>
      </c>
      <c r="AH1377" s="445"/>
      <c r="AI1377" s="445"/>
      <c r="AJ1377" s="445"/>
      <c r="AK1377" s="445"/>
      <c r="AL1377" s="445"/>
      <c r="AM1377" s="445"/>
      <c r="AN1377" s="445"/>
      <c r="AO1377" s="445"/>
      <c r="AP1377" s="445"/>
      <c r="AQ1377" s="424"/>
      <c r="AR1377" s="424"/>
      <c r="AS1377" s="2"/>
      <c r="AT1377" s="2"/>
    </row>
    <row r="1378" spans="1:46" s="446" customFormat="1" x14ac:dyDescent="0.25">
      <c r="A1378" s="400" t="s">
        <v>1223</v>
      </c>
      <c r="B1378" s="26"/>
      <c r="C1378" s="444"/>
      <c r="D1378" s="55"/>
      <c r="E1378" s="25" t="s">
        <v>12</v>
      </c>
      <c r="F1378" s="25"/>
      <c r="G1378" s="402" t="s">
        <v>1197</v>
      </c>
      <c r="H1378" s="402" t="s">
        <v>1105</v>
      </c>
      <c r="I1378" s="12"/>
      <c r="J1378" s="17" t="s">
        <v>2</v>
      </c>
      <c r="K1378" s="447">
        <v>31710.42</v>
      </c>
      <c r="L1378" s="11"/>
      <c r="M1378" s="11"/>
      <c r="N1378" s="11"/>
      <c r="O1378" s="11"/>
      <c r="P1378" s="4"/>
      <c r="Q1378" s="4"/>
      <c r="R1378" s="426"/>
      <c r="S1378" s="426"/>
      <c r="T1378" s="426"/>
      <c r="U1378" s="445"/>
      <c r="V1378" s="448"/>
      <c r="W1378" s="445">
        <f>3135.42+3225</f>
        <v>6360.42</v>
      </c>
      <c r="X1378" s="445">
        <f>2850+2850</f>
        <v>5700</v>
      </c>
      <c r="Y1378" s="445">
        <f>2475+2475</f>
        <v>4950</v>
      </c>
      <c r="Z1378" s="513">
        <f>2100+2100</f>
        <v>4200</v>
      </c>
      <c r="AA1378" s="556">
        <f>1725+1725</f>
        <v>3450</v>
      </c>
      <c r="AB1378" s="445">
        <f>1350+1350</f>
        <v>2700</v>
      </c>
      <c r="AC1378" s="445">
        <f>975+975</f>
        <v>1950</v>
      </c>
      <c r="AD1378" s="445">
        <f>600+600</f>
        <v>1200</v>
      </c>
      <c r="AE1378" s="445">
        <f>400+400</f>
        <v>800</v>
      </c>
      <c r="AF1378" s="445">
        <f>200+200</f>
        <v>400</v>
      </c>
      <c r="AG1378" s="17" t="s">
        <v>11</v>
      </c>
      <c r="AH1378" s="445"/>
      <c r="AI1378" s="445"/>
      <c r="AJ1378" s="445"/>
      <c r="AK1378" s="445"/>
      <c r="AL1378" s="445"/>
      <c r="AM1378" s="445"/>
      <c r="AN1378" s="445"/>
      <c r="AO1378" s="445"/>
      <c r="AP1378" s="445"/>
      <c r="AQ1378" s="418"/>
      <c r="AR1378" s="418"/>
      <c r="AS1378" s="17"/>
      <c r="AT1378" s="17"/>
    </row>
    <row r="1379" spans="1:46" s="450" customFormat="1" ht="13.8" thickBot="1" x14ac:dyDescent="0.3">
      <c r="A1379" s="120"/>
      <c r="B1379" s="120"/>
      <c r="C1379" s="120"/>
      <c r="D1379" s="91"/>
      <c r="E1379" s="90" t="s">
        <v>160</v>
      </c>
      <c r="F1379" s="398" t="s">
        <v>407</v>
      </c>
      <c r="G1379" s="449" t="s">
        <v>1198</v>
      </c>
      <c r="H1379" s="144"/>
      <c r="I1379" s="124"/>
      <c r="J1379" s="450" t="s">
        <v>5</v>
      </c>
      <c r="K1379" s="451">
        <f>K1378+K1377</f>
        <v>166710.41999999998</v>
      </c>
      <c r="L1379" s="43"/>
      <c r="M1379" s="43"/>
      <c r="N1379" s="43"/>
      <c r="O1379" s="43"/>
      <c r="P1379" s="43">
        <f>P1378+P1377</f>
        <v>0</v>
      </c>
      <c r="Q1379" s="43"/>
      <c r="R1379" s="43">
        <f>R1378+R1377</f>
        <v>0</v>
      </c>
      <c r="S1379" s="43">
        <f>S1378+S1377</f>
        <v>0</v>
      </c>
      <c r="T1379" s="43"/>
      <c r="U1379" s="43">
        <f>U1378+U1377</f>
        <v>0</v>
      </c>
      <c r="V1379" s="412"/>
      <c r="W1379" s="412">
        <f t="shared" ref="W1379:AF1379" si="1096">W1378+W1377</f>
        <v>21360.42</v>
      </c>
      <c r="X1379" s="412">
        <f t="shared" si="1096"/>
        <v>20700</v>
      </c>
      <c r="Y1379" s="412">
        <f t="shared" si="1096"/>
        <v>19950</v>
      </c>
      <c r="Z1379" s="510">
        <f t="shared" si="1096"/>
        <v>19200</v>
      </c>
      <c r="AA1379" s="553">
        <f t="shared" si="1096"/>
        <v>18450</v>
      </c>
      <c r="AB1379" s="412">
        <f t="shared" si="1096"/>
        <v>17700</v>
      </c>
      <c r="AC1379" s="412">
        <f t="shared" si="1096"/>
        <v>16950</v>
      </c>
      <c r="AD1379" s="412">
        <f t="shared" si="1096"/>
        <v>11200</v>
      </c>
      <c r="AE1379" s="412">
        <f t="shared" si="1096"/>
        <v>10800</v>
      </c>
      <c r="AF1379" s="412">
        <f t="shared" si="1096"/>
        <v>10400</v>
      </c>
      <c r="AG1379" s="41" t="s">
        <v>11</v>
      </c>
      <c r="AH1379" s="411"/>
      <c r="AI1379" s="411"/>
      <c r="AJ1379" s="411"/>
      <c r="AK1379" s="411"/>
      <c r="AL1379" s="411"/>
      <c r="AM1379" s="411"/>
      <c r="AN1379" s="411"/>
      <c r="AO1379" s="411"/>
      <c r="AP1379" s="411"/>
      <c r="AQ1379" s="411"/>
      <c r="AR1379" s="411"/>
      <c r="AS1379" s="41"/>
      <c r="AT1379" s="41"/>
    </row>
    <row r="1380" spans="1:46" s="446" customFormat="1" x14ac:dyDescent="0.25">
      <c r="A1380" s="26" t="s">
        <v>4</v>
      </c>
      <c r="B1380" s="26" t="s">
        <v>97</v>
      </c>
      <c r="C1380" s="444"/>
      <c r="D1380" s="55" t="s">
        <v>4</v>
      </c>
      <c r="E1380" s="465">
        <v>44657</v>
      </c>
      <c r="F1380" s="25" t="s">
        <v>266</v>
      </c>
      <c r="G1380" s="314" t="s">
        <v>1199</v>
      </c>
      <c r="H1380" s="428">
        <v>61312160</v>
      </c>
      <c r="I1380" s="428">
        <v>584023</v>
      </c>
      <c r="J1380" s="2" t="s">
        <v>1</v>
      </c>
      <c r="K1380" s="27">
        <v>235000</v>
      </c>
      <c r="L1380" s="4"/>
      <c r="M1380" s="4"/>
      <c r="N1380" s="4"/>
      <c r="O1380" s="4"/>
      <c r="P1380" s="4"/>
      <c r="Q1380" s="4"/>
      <c r="R1380" s="426"/>
      <c r="S1380" s="426"/>
      <c r="T1380" s="426"/>
      <c r="U1380" s="445"/>
      <c r="V1380" s="419"/>
      <c r="W1380" s="445">
        <v>50000</v>
      </c>
      <c r="X1380" s="445">
        <v>50000</v>
      </c>
      <c r="Y1380" s="445">
        <v>45000</v>
      </c>
      <c r="Z1380" s="513">
        <v>45000</v>
      </c>
      <c r="AA1380" s="556">
        <v>45000</v>
      </c>
      <c r="AB1380" s="2" t="s">
        <v>11</v>
      </c>
      <c r="AC1380" s="430"/>
      <c r="AD1380" s="430"/>
      <c r="AE1380" s="430"/>
      <c r="AF1380" s="430"/>
      <c r="AG1380" s="430"/>
      <c r="AH1380" s="430"/>
      <c r="AI1380" s="430"/>
      <c r="AJ1380" s="430"/>
      <c r="AK1380" s="430"/>
      <c r="AL1380" s="430"/>
      <c r="AM1380" s="430"/>
      <c r="AN1380" s="430"/>
      <c r="AO1380" s="430"/>
      <c r="AP1380" s="430"/>
      <c r="AQ1380" s="424"/>
      <c r="AR1380" s="424"/>
      <c r="AS1380" s="2"/>
      <c r="AT1380" s="2"/>
    </row>
    <row r="1381" spans="1:46" s="446" customFormat="1" x14ac:dyDescent="0.25">
      <c r="A1381" s="400" t="s">
        <v>1224</v>
      </c>
      <c r="B1381" s="26"/>
      <c r="C1381" s="444"/>
      <c r="D1381" s="55"/>
      <c r="E1381" s="25" t="s">
        <v>12</v>
      </c>
      <c r="F1381" s="25"/>
      <c r="G1381" s="402" t="s">
        <v>1200</v>
      </c>
      <c r="H1381" s="402" t="s">
        <v>1106</v>
      </c>
      <c r="I1381" s="12"/>
      <c r="J1381" s="17" t="s">
        <v>2</v>
      </c>
      <c r="K1381" s="447">
        <v>34336.81</v>
      </c>
      <c r="L1381" s="11"/>
      <c r="M1381" s="11"/>
      <c r="N1381" s="11"/>
      <c r="O1381" s="11"/>
      <c r="P1381" s="4"/>
      <c r="Q1381" s="4"/>
      <c r="R1381" s="426"/>
      <c r="S1381" s="426"/>
      <c r="T1381" s="426"/>
      <c r="U1381" s="445"/>
      <c r="V1381" s="448"/>
      <c r="W1381" s="445">
        <f>5711.81+5875</f>
        <v>11586.810000000001</v>
      </c>
      <c r="X1381" s="445">
        <f>4625+4625</f>
        <v>9250</v>
      </c>
      <c r="Y1381" s="445">
        <f>3375+3375</f>
        <v>6750</v>
      </c>
      <c r="Z1381" s="513">
        <f>2250+2250</f>
        <v>4500</v>
      </c>
      <c r="AA1381" s="556">
        <f>1125+1125</f>
        <v>2250</v>
      </c>
      <c r="AB1381" s="17" t="s">
        <v>11</v>
      </c>
      <c r="AC1381" s="430"/>
      <c r="AD1381" s="430"/>
      <c r="AE1381" s="430"/>
      <c r="AF1381" s="430"/>
      <c r="AG1381" s="430"/>
      <c r="AH1381" s="430"/>
      <c r="AI1381" s="430"/>
      <c r="AJ1381" s="430"/>
      <c r="AK1381" s="430"/>
      <c r="AL1381" s="430"/>
      <c r="AM1381" s="430"/>
      <c r="AN1381" s="430"/>
      <c r="AO1381" s="430"/>
      <c r="AP1381" s="430"/>
      <c r="AQ1381" s="418"/>
      <c r="AR1381" s="418"/>
      <c r="AS1381" s="17"/>
      <c r="AT1381" s="17"/>
    </row>
    <row r="1382" spans="1:46" s="450" customFormat="1" ht="13.8" thickBot="1" x14ac:dyDescent="0.3">
      <c r="A1382" s="120"/>
      <c r="B1382" s="120"/>
      <c r="C1382" s="120"/>
      <c r="D1382" s="91"/>
      <c r="E1382" s="90" t="s">
        <v>160</v>
      </c>
      <c r="F1382" s="398" t="s">
        <v>407</v>
      </c>
      <c r="G1382" s="449" t="s">
        <v>1140</v>
      </c>
      <c r="H1382" s="144"/>
      <c r="I1382" s="124"/>
      <c r="J1382" s="450" t="s">
        <v>5</v>
      </c>
      <c r="K1382" s="451">
        <f>K1381+K1380</f>
        <v>269336.81</v>
      </c>
      <c r="L1382" s="43"/>
      <c r="M1382" s="43"/>
      <c r="N1382" s="43"/>
      <c r="O1382" s="43"/>
      <c r="P1382" s="43">
        <f>P1381+P1380</f>
        <v>0</v>
      </c>
      <c r="Q1382" s="43"/>
      <c r="R1382" s="43">
        <f>R1381+R1380</f>
        <v>0</v>
      </c>
      <c r="S1382" s="43">
        <f>S1381+S1380</f>
        <v>0</v>
      </c>
      <c r="T1382" s="43"/>
      <c r="U1382" s="43">
        <f>U1381+U1380</f>
        <v>0</v>
      </c>
      <c r="V1382" s="412"/>
      <c r="W1382" s="412">
        <f>W1381+W1380</f>
        <v>61586.81</v>
      </c>
      <c r="X1382" s="412">
        <f>X1381+X1380</f>
        <v>59250</v>
      </c>
      <c r="Y1382" s="412">
        <f>Y1381+Y1380</f>
        <v>51750</v>
      </c>
      <c r="Z1382" s="510">
        <f>Z1381+Z1380</f>
        <v>49500</v>
      </c>
      <c r="AA1382" s="553">
        <f>AA1381+AA1380</f>
        <v>47250</v>
      </c>
      <c r="AB1382" s="41" t="s">
        <v>11</v>
      </c>
      <c r="AC1382" s="412"/>
      <c r="AD1382" s="412"/>
      <c r="AE1382" s="412"/>
      <c r="AF1382" s="412"/>
      <c r="AG1382" s="412"/>
      <c r="AH1382" s="412"/>
      <c r="AI1382" s="412"/>
      <c r="AJ1382" s="412"/>
      <c r="AK1382" s="412"/>
      <c r="AL1382" s="412"/>
      <c r="AM1382" s="412"/>
      <c r="AN1382" s="412"/>
      <c r="AO1382" s="412"/>
      <c r="AP1382" s="412"/>
      <c r="AQ1382" s="411"/>
      <c r="AR1382" s="411"/>
      <c r="AS1382" s="41"/>
      <c r="AT1382" s="41"/>
    </row>
    <row r="1383" spans="1:46" s="8" customFormat="1" x14ac:dyDescent="0.25">
      <c r="A1383" s="121"/>
      <c r="B1383" s="26"/>
      <c r="C1383" s="306"/>
      <c r="D1383" s="55"/>
      <c r="E1383" s="55"/>
      <c r="F1383" s="55"/>
      <c r="G1383" s="9" t="s">
        <v>7</v>
      </c>
      <c r="H1383" s="9">
        <v>61774619</v>
      </c>
      <c r="I1383" s="9">
        <v>591100</v>
      </c>
      <c r="J1383" s="10" t="s">
        <v>1</v>
      </c>
      <c r="K1383" s="31">
        <f>K1374+K1377+K1380</f>
        <v>1000000</v>
      </c>
      <c r="L1383" s="7"/>
      <c r="M1383" s="7"/>
      <c r="N1383" s="7"/>
      <c r="O1383" s="7"/>
      <c r="P1383" s="7"/>
      <c r="Q1383" s="7"/>
      <c r="R1383" s="7"/>
      <c r="S1383" s="7"/>
      <c r="T1383" s="7" t="e">
        <f>#REF!</f>
        <v>#REF!</v>
      </c>
      <c r="U1383" s="7"/>
      <c r="V1383" s="7"/>
      <c r="W1383" s="7">
        <f>W1380+W1377+W1374</f>
        <v>100000</v>
      </c>
      <c r="X1383" s="7">
        <f>X1380+X1377+X1374</f>
        <v>100000</v>
      </c>
      <c r="Y1383" s="7">
        <f t="shared" ref="Y1383:AA1383" si="1097">Y1380+Y1377+Y1374</f>
        <v>95000</v>
      </c>
      <c r="Z1383" s="501">
        <f t="shared" si="1097"/>
        <v>95000</v>
      </c>
      <c r="AA1383" s="540">
        <f t="shared" si="1097"/>
        <v>95000</v>
      </c>
      <c r="AB1383" s="7">
        <f>AB1377+AB1374</f>
        <v>50000</v>
      </c>
      <c r="AC1383" s="7">
        <f t="shared" ref="AC1383:AF1383" si="1098">AC1377+AC1374</f>
        <v>45000</v>
      </c>
      <c r="AD1383" s="7">
        <f t="shared" si="1098"/>
        <v>40000</v>
      </c>
      <c r="AE1383" s="7">
        <f t="shared" si="1098"/>
        <v>40000</v>
      </c>
      <c r="AF1383" s="7">
        <f t="shared" si="1098"/>
        <v>40000</v>
      </c>
      <c r="AG1383" s="7">
        <f>AG1374</f>
        <v>30000</v>
      </c>
      <c r="AH1383" s="7">
        <f t="shared" ref="AH1383:AL1383" si="1099">AH1374</f>
        <v>30000</v>
      </c>
      <c r="AI1383" s="7">
        <f t="shared" si="1099"/>
        <v>30000</v>
      </c>
      <c r="AJ1383" s="7">
        <f t="shared" si="1099"/>
        <v>30000</v>
      </c>
      <c r="AK1383" s="7">
        <f t="shared" si="1099"/>
        <v>30000</v>
      </c>
      <c r="AL1383" s="7">
        <f t="shared" si="1099"/>
        <v>30000</v>
      </c>
      <c r="AM1383" s="7">
        <f>AM1374</f>
        <v>30000</v>
      </c>
      <c r="AN1383" s="7">
        <f t="shared" ref="AN1383:AP1383" si="1100">AN1374</f>
        <v>30000</v>
      </c>
      <c r="AO1383" s="7">
        <f t="shared" si="1100"/>
        <v>30000</v>
      </c>
      <c r="AP1383" s="7">
        <f t="shared" si="1100"/>
        <v>30000</v>
      </c>
      <c r="AQ1383" s="3" t="s">
        <v>11</v>
      </c>
      <c r="AR1383" s="3"/>
      <c r="AS1383" s="3"/>
      <c r="AT1383" s="3"/>
    </row>
    <row r="1384" spans="1:46" s="8" customFormat="1" x14ac:dyDescent="0.25">
      <c r="A1384" s="121"/>
      <c r="B1384" s="121"/>
      <c r="C1384" s="306"/>
      <c r="D1384" s="10"/>
      <c r="E1384" s="10"/>
      <c r="F1384" s="10"/>
      <c r="G1384" s="10"/>
      <c r="H1384" s="9">
        <v>61774619</v>
      </c>
      <c r="I1384" s="10">
        <v>595100</v>
      </c>
      <c r="J1384" s="19" t="s">
        <v>2</v>
      </c>
      <c r="K1384" s="31">
        <f>K1375+K1378+K1381</f>
        <v>287628.48</v>
      </c>
      <c r="L1384" s="16"/>
      <c r="M1384" s="16"/>
      <c r="N1384" s="16"/>
      <c r="O1384" s="16"/>
      <c r="P1384" s="16"/>
      <c r="Q1384" s="16"/>
      <c r="R1384" s="16"/>
      <c r="S1384" s="16"/>
      <c r="T1384" s="16" t="e">
        <f>#REF!</f>
        <v>#REF!</v>
      </c>
      <c r="U1384" s="16"/>
      <c r="V1384" s="16"/>
      <c r="W1384" s="475">
        <f>W1381+W1378+W1375</f>
        <v>42353.48</v>
      </c>
      <c r="X1384" s="16">
        <f>X1381+X1378+X1375</f>
        <v>37950</v>
      </c>
      <c r="Y1384" s="16">
        <f t="shared" ref="Y1384:AA1384" si="1101">Y1381+Y1378+Y1375</f>
        <v>32950</v>
      </c>
      <c r="Z1384" s="502">
        <f t="shared" si="1101"/>
        <v>28200</v>
      </c>
      <c r="AA1384" s="541">
        <f t="shared" si="1101"/>
        <v>23450</v>
      </c>
      <c r="AB1384" s="16">
        <f>AB1378+AB1375</f>
        <v>18700</v>
      </c>
      <c r="AC1384" s="16">
        <f t="shared" ref="AC1384:AF1384" si="1102">AC1378+AC1375</f>
        <v>16200</v>
      </c>
      <c r="AD1384" s="16">
        <f t="shared" si="1102"/>
        <v>13950</v>
      </c>
      <c r="AE1384" s="16">
        <f t="shared" si="1102"/>
        <v>12350</v>
      </c>
      <c r="AF1384" s="16">
        <f t="shared" si="1102"/>
        <v>10750</v>
      </c>
      <c r="AG1384" s="16">
        <f>AG1375</f>
        <v>9150</v>
      </c>
      <c r="AH1384" s="16">
        <f t="shared" ref="AH1384:AL1384" si="1103">AH1375</f>
        <v>8250</v>
      </c>
      <c r="AI1384" s="16">
        <f t="shared" si="1103"/>
        <v>7350</v>
      </c>
      <c r="AJ1384" s="16">
        <f t="shared" si="1103"/>
        <v>6450</v>
      </c>
      <c r="AK1384" s="16">
        <f t="shared" si="1103"/>
        <v>5550</v>
      </c>
      <c r="AL1384" s="16">
        <f t="shared" si="1103"/>
        <v>4650</v>
      </c>
      <c r="AM1384" s="16">
        <f>AM1375</f>
        <v>3750</v>
      </c>
      <c r="AN1384" s="16">
        <f t="shared" ref="AN1384:AP1384" si="1104">AN1375</f>
        <v>2812.5</v>
      </c>
      <c r="AO1384" s="16">
        <f t="shared" si="1104"/>
        <v>1875</v>
      </c>
      <c r="AP1384" s="16">
        <f t="shared" si="1104"/>
        <v>937.5</v>
      </c>
      <c r="AQ1384" s="20" t="s">
        <v>11</v>
      </c>
      <c r="AR1384" s="20"/>
      <c r="AS1384" s="20"/>
      <c r="AT1384" s="20"/>
    </row>
    <row r="1385" spans="1:46" s="8" customFormat="1" ht="13.8" thickBot="1" x14ac:dyDescent="0.3">
      <c r="A1385" s="122"/>
      <c r="B1385" s="122"/>
      <c r="C1385" s="307"/>
      <c r="D1385" s="91"/>
      <c r="E1385" s="91"/>
      <c r="F1385" s="91"/>
      <c r="G1385" s="355" t="s">
        <v>1298</v>
      </c>
      <c r="H1385" s="91"/>
      <c r="I1385" s="91"/>
      <c r="J1385" s="52" t="s">
        <v>5</v>
      </c>
      <c r="K1385" s="53">
        <f>K1384+K1383</f>
        <v>1287628.48</v>
      </c>
      <c r="L1385" s="46"/>
      <c r="M1385" s="46"/>
      <c r="N1385" s="46"/>
      <c r="O1385" s="46"/>
      <c r="P1385" s="46"/>
      <c r="Q1385" s="46"/>
      <c r="R1385" s="46"/>
      <c r="S1385" s="46"/>
      <c r="T1385" s="46" t="e">
        <f t="shared" ref="T1385" si="1105">T1384+T1383</f>
        <v>#REF!</v>
      </c>
      <c r="U1385" s="46"/>
      <c r="V1385" s="46"/>
      <c r="W1385" s="46">
        <f t="shared" ref="W1385:AP1385" si="1106">W1384+W1383</f>
        <v>142353.48000000001</v>
      </c>
      <c r="X1385" s="46">
        <f t="shared" si="1106"/>
        <v>137950</v>
      </c>
      <c r="Y1385" s="46">
        <f t="shared" si="1106"/>
        <v>127950</v>
      </c>
      <c r="Z1385" s="503">
        <f t="shared" si="1106"/>
        <v>123200</v>
      </c>
      <c r="AA1385" s="542">
        <f t="shared" si="1106"/>
        <v>118450</v>
      </c>
      <c r="AB1385" s="46">
        <f t="shared" si="1106"/>
        <v>68700</v>
      </c>
      <c r="AC1385" s="46">
        <f t="shared" si="1106"/>
        <v>61200</v>
      </c>
      <c r="AD1385" s="46">
        <f t="shared" si="1106"/>
        <v>53950</v>
      </c>
      <c r="AE1385" s="46">
        <f t="shared" si="1106"/>
        <v>52350</v>
      </c>
      <c r="AF1385" s="46">
        <f t="shared" si="1106"/>
        <v>50750</v>
      </c>
      <c r="AG1385" s="46">
        <f t="shared" si="1106"/>
        <v>39150</v>
      </c>
      <c r="AH1385" s="46">
        <f t="shared" si="1106"/>
        <v>38250</v>
      </c>
      <c r="AI1385" s="46">
        <f t="shared" si="1106"/>
        <v>37350</v>
      </c>
      <c r="AJ1385" s="46">
        <f t="shared" si="1106"/>
        <v>36450</v>
      </c>
      <c r="AK1385" s="46">
        <f t="shared" si="1106"/>
        <v>35550</v>
      </c>
      <c r="AL1385" s="46">
        <f t="shared" si="1106"/>
        <v>34650</v>
      </c>
      <c r="AM1385" s="46">
        <f t="shared" si="1106"/>
        <v>33750</v>
      </c>
      <c r="AN1385" s="46">
        <f t="shared" si="1106"/>
        <v>32812.5</v>
      </c>
      <c r="AO1385" s="46">
        <f t="shared" si="1106"/>
        <v>31875</v>
      </c>
      <c r="AP1385" s="46">
        <f t="shared" si="1106"/>
        <v>30937.5</v>
      </c>
      <c r="AQ1385" s="47" t="s">
        <v>11</v>
      </c>
      <c r="AR1385" s="47"/>
      <c r="AS1385" s="47"/>
      <c r="AT1385" s="47"/>
    </row>
    <row r="1386" spans="1:46" s="3" customFormat="1" x14ac:dyDescent="0.25">
      <c r="A1386" s="121"/>
      <c r="B1386" s="121"/>
      <c r="C1386" s="306"/>
      <c r="D1386" s="102"/>
      <c r="E1386" s="285"/>
      <c r="F1386" s="102"/>
      <c r="G1386" s="103" t="s">
        <v>1205</v>
      </c>
      <c r="H1386" s="103"/>
      <c r="I1386" s="103"/>
      <c r="J1386" s="104" t="s">
        <v>1</v>
      </c>
      <c r="K1386" s="105">
        <f>K1353+K1371+K1383</f>
        <v>9480000</v>
      </c>
      <c r="L1386" s="7"/>
      <c r="M1386" s="7"/>
      <c r="N1386" s="67"/>
      <c r="O1386" s="67"/>
      <c r="P1386" s="67"/>
      <c r="Q1386" s="67"/>
      <c r="R1386" s="67"/>
      <c r="S1386" s="67"/>
      <c r="T1386" s="67" t="e">
        <f>T1368+#REF!+T1377</f>
        <v>#REF!</v>
      </c>
      <c r="U1386" s="67"/>
      <c r="V1386" s="67"/>
      <c r="W1386" s="67">
        <f>W1353+W1371+W1383</f>
        <v>1040000</v>
      </c>
      <c r="X1386" s="67">
        <f t="shared" ref="X1386:AP1386" si="1107">X1353+X1371+X1383</f>
        <v>1035000</v>
      </c>
      <c r="Y1386" s="67">
        <f t="shared" si="1107"/>
        <v>1025000</v>
      </c>
      <c r="Z1386" s="507">
        <f t="shared" si="1107"/>
        <v>1005000</v>
      </c>
      <c r="AA1386" s="546">
        <f t="shared" si="1107"/>
        <v>990000</v>
      </c>
      <c r="AB1386" s="67">
        <f t="shared" si="1107"/>
        <v>530000</v>
      </c>
      <c r="AC1386" s="67">
        <f t="shared" si="1107"/>
        <v>525000</v>
      </c>
      <c r="AD1386" s="67">
        <f t="shared" si="1107"/>
        <v>520000</v>
      </c>
      <c r="AE1386" s="67">
        <f t="shared" si="1107"/>
        <v>510000</v>
      </c>
      <c r="AF1386" s="67">
        <f t="shared" si="1107"/>
        <v>490000</v>
      </c>
      <c r="AG1386" s="67">
        <f t="shared" si="1107"/>
        <v>220000</v>
      </c>
      <c r="AH1386" s="67">
        <f t="shared" si="1107"/>
        <v>215000</v>
      </c>
      <c r="AI1386" s="67">
        <f t="shared" si="1107"/>
        <v>205000</v>
      </c>
      <c r="AJ1386" s="67">
        <f t="shared" si="1107"/>
        <v>205000</v>
      </c>
      <c r="AK1386" s="67">
        <f t="shared" si="1107"/>
        <v>205000</v>
      </c>
      <c r="AL1386" s="67">
        <f t="shared" si="1107"/>
        <v>155000</v>
      </c>
      <c r="AM1386" s="67">
        <f t="shared" si="1107"/>
        <v>155000</v>
      </c>
      <c r="AN1386" s="67">
        <f t="shared" si="1107"/>
        <v>150000</v>
      </c>
      <c r="AO1386" s="67">
        <f t="shared" si="1107"/>
        <v>150000</v>
      </c>
      <c r="AP1386" s="67">
        <f t="shared" si="1107"/>
        <v>150000</v>
      </c>
      <c r="AQ1386" s="3" t="s">
        <v>11</v>
      </c>
    </row>
    <row r="1387" spans="1:46" s="3" customFormat="1" ht="13.8" thickBot="1" x14ac:dyDescent="0.3">
      <c r="A1387" s="121"/>
      <c r="B1387" s="121"/>
      <c r="C1387" s="306"/>
      <c r="D1387" s="104"/>
      <c r="E1387" s="285" t="s">
        <v>1215</v>
      </c>
      <c r="F1387" s="104"/>
      <c r="G1387" s="399" t="s">
        <v>1213</v>
      </c>
      <c r="H1387" s="103"/>
      <c r="I1387" s="103"/>
      <c r="J1387" s="106" t="s">
        <v>2</v>
      </c>
      <c r="K1387" s="107">
        <f>K1354+K1372+K1384</f>
        <v>2472851.3200000003</v>
      </c>
      <c r="L1387" s="22"/>
      <c r="M1387" s="22"/>
      <c r="N1387" s="22"/>
      <c r="O1387" s="22"/>
      <c r="P1387" s="22"/>
      <c r="Q1387" s="22"/>
      <c r="R1387" s="22"/>
      <c r="S1387" s="22"/>
      <c r="T1387" s="22" t="e">
        <f>T1369+#REF!+T1378</f>
        <v>#REF!</v>
      </c>
      <c r="U1387" s="22"/>
      <c r="V1387" s="22"/>
      <c r="W1387" s="476">
        <f>W1354+W1372+W1384</f>
        <v>417476.30999999994</v>
      </c>
      <c r="X1387" s="22">
        <f t="shared" ref="X1387:AP1387" si="1108">X1354+X1372+X1384</f>
        <v>371356.25</v>
      </c>
      <c r="Y1387" s="22">
        <f t="shared" si="1108"/>
        <v>319606.25</v>
      </c>
      <c r="Z1387" s="506">
        <f t="shared" si="1108"/>
        <v>268353.25</v>
      </c>
      <c r="AA1387" s="545">
        <f t="shared" si="1108"/>
        <v>218106.25</v>
      </c>
      <c r="AB1387" s="22">
        <f t="shared" si="1108"/>
        <v>168606.25</v>
      </c>
      <c r="AC1387" s="22">
        <f t="shared" si="1108"/>
        <v>142106.25</v>
      </c>
      <c r="AD1387" s="22">
        <f t="shared" si="1108"/>
        <v>115856.25</v>
      </c>
      <c r="AE1387" s="22">
        <f t="shared" si="1108"/>
        <v>95056.25</v>
      </c>
      <c r="AF1387" s="22">
        <f t="shared" si="1108"/>
        <v>74656.25</v>
      </c>
      <c r="AG1387" s="22">
        <f t="shared" si="1108"/>
        <v>55056.25</v>
      </c>
      <c r="AH1387" s="22">
        <f t="shared" si="1108"/>
        <v>48456.25</v>
      </c>
      <c r="AI1387" s="22">
        <f t="shared" si="1108"/>
        <v>42006.25</v>
      </c>
      <c r="AJ1387" s="22">
        <f t="shared" si="1108"/>
        <v>35856.25</v>
      </c>
      <c r="AK1387" s="22">
        <f t="shared" si="1108"/>
        <v>29706.25</v>
      </c>
      <c r="AL1387" s="22">
        <f t="shared" si="1108"/>
        <v>23556.25</v>
      </c>
      <c r="AM1387" s="22">
        <f t="shared" si="1108"/>
        <v>18906.25</v>
      </c>
      <c r="AN1387" s="22">
        <f t="shared" si="1108"/>
        <v>14062.5</v>
      </c>
      <c r="AO1387" s="22">
        <f t="shared" si="1108"/>
        <v>9375</v>
      </c>
      <c r="AP1387" s="22">
        <f t="shared" si="1108"/>
        <v>4687.51</v>
      </c>
      <c r="AQ1387" s="23" t="s">
        <v>11</v>
      </c>
      <c r="AR1387" s="23"/>
      <c r="AS1387" s="23"/>
      <c r="AT1387" s="23"/>
    </row>
    <row r="1388" spans="1:46" s="6" customFormat="1" x14ac:dyDescent="0.25">
      <c r="A1388" s="26"/>
      <c r="B1388" s="26"/>
      <c r="C1388" s="306"/>
      <c r="D1388" s="108"/>
      <c r="E1388" s="286" t="s">
        <v>1214</v>
      </c>
      <c r="F1388" s="108"/>
      <c r="G1388" s="287" t="s">
        <v>1343</v>
      </c>
      <c r="H1388" s="103"/>
      <c r="I1388" s="103"/>
      <c r="J1388" s="109" t="s">
        <v>5</v>
      </c>
      <c r="K1388" s="110">
        <f>K1387+K1386</f>
        <v>11952851.32</v>
      </c>
      <c r="L1388" s="67"/>
      <c r="M1388" s="67"/>
      <c r="N1388" s="282"/>
      <c r="O1388" s="282"/>
      <c r="P1388" s="282"/>
      <c r="Q1388" s="282"/>
      <c r="R1388" s="282"/>
      <c r="S1388" s="282"/>
      <c r="T1388" s="282" t="e">
        <f t="shared" ref="T1388" si="1109">T1387+T1386</f>
        <v>#REF!</v>
      </c>
      <c r="U1388" s="282"/>
      <c r="V1388" s="282"/>
      <c r="W1388" s="282">
        <f t="shared" ref="W1388:AP1388" si="1110">W1387+W1386</f>
        <v>1457476.31</v>
      </c>
      <c r="X1388" s="282">
        <f t="shared" si="1110"/>
        <v>1406356.25</v>
      </c>
      <c r="Y1388" s="282">
        <f t="shared" si="1110"/>
        <v>1344606.25</v>
      </c>
      <c r="Z1388" s="508">
        <f t="shared" si="1110"/>
        <v>1273353.25</v>
      </c>
      <c r="AA1388" s="551">
        <f t="shared" si="1110"/>
        <v>1208106.25</v>
      </c>
      <c r="AB1388" s="282">
        <f t="shared" si="1110"/>
        <v>698606.25</v>
      </c>
      <c r="AC1388" s="282">
        <f t="shared" si="1110"/>
        <v>667106.25</v>
      </c>
      <c r="AD1388" s="282">
        <f t="shared" si="1110"/>
        <v>635856.25</v>
      </c>
      <c r="AE1388" s="282">
        <f t="shared" si="1110"/>
        <v>605056.25</v>
      </c>
      <c r="AF1388" s="282">
        <f t="shared" si="1110"/>
        <v>564656.25</v>
      </c>
      <c r="AG1388" s="282">
        <f t="shared" si="1110"/>
        <v>275056.25</v>
      </c>
      <c r="AH1388" s="282">
        <f t="shared" si="1110"/>
        <v>263456.25</v>
      </c>
      <c r="AI1388" s="282">
        <f t="shared" si="1110"/>
        <v>247006.25</v>
      </c>
      <c r="AJ1388" s="282">
        <f t="shared" si="1110"/>
        <v>240856.25</v>
      </c>
      <c r="AK1388" s="282">
        <f t="shared" si="1110"/>
        <v>234706.25</v>
      </c>
      <c r="AL1388" s="282">
        <f t="shared" si="1110"/>
        <v>178556.25</v>
      </c>
      <c r="AM1388" s="282">
        <f t="shared" si="1110"/>
        <v>173906.25</v>
      </c>
      <c r="AN1388" s="282">
        <f t="shared" si="1110"/>
        <v>164062.5</v>
      </c>
      <c r="AO1388" s="282">
        <f t="shared" si="1110"/>
        <v>159375</v>
      </c>
      <c r="AP1388" s="282">
        <f t="shared" si="1110"/>
        <v>154687.51</v>
      </c>
      <c r="AQ1388" s="134" t="s">
        <v>11</v>
      </c>
      <c r="AR1388" s="69"/>
      <c r="AS1388" s="69"/>
      <c r="AT1388" s="69"/>
    </row>
    <row r="1389" spans="1:46" s="2" customFormat="1" ht="13.8" thickBot="1" x14ac:dyDescent="0.3">
      <c r="A1389" s="119"/>
      <c r="B1389" s="119"/>
      <c r="C1389" s="308"/>
      <c r="D1389" s="49"/>
      <c r="E1389" s="49"/>
      <c r="F1389" s="49"/>
      <c r="G1389" s="128" t="s">
        <v>1256</v>
      </c>
      <c r="H1389" s="128"/>
      <c r="I1389" s="128"/>
      <c r="J1389" s="48"/>
      <c r="K1389" s="96"/>
      <c r="L1389" s="97"/>
      <c r="M1389" s="97"/>
      <c r="N1389" s="97"/>
      <c r="O1389" s="97"/>
      <c r="P1389" s="98"/>
      <c r="Q1389" s="98"/>
      <c r="R1389" s="98"/>
      <c r="S1389" s="383"/>
      <c r="T1389" s="98"/>
      <c r="U1389" s="48"/>
      <c r="V1389" s="48"/>
      <c r="W1389" s="48"/>
      <c r="X1389" s="48"/>
      <c r="Y1389" s="48"/>
      <c r="Z1389" s="48"/>
      <c r="AA1389" s="48"/>
      <c r="AB1389" s="48"/>
      <c r="AC1389" s="48"/>
      <c r="AD1389" s="48"/>
      <c r="AE1389" s="48"/>
      <c r="AF1389" s="48"/>
      <c r="AG1389" s="48"/>
      <c r="AH1389" s="48"/>
      <c r="AI1389" s="48"/>
      <c r="AJ1389" s="48"/>
      <c r="AK1389" s="48"/>
      <c r="AL1389" s="48"/>
      <c r="AM1389" s="48"/>
      <c r="AN1389" s="48"/>
      <c r="AO1389" s="48"/>
      <c r="AP1389" s="48"/>
      <c r="AQ1389" s="48"/>
      <c r="AR1389" s="48"/>
      <c r="AS1389" s="48"/>
      <c r="AT1389" s="48"/>
    </row>
    <row r="1390" spans="1:46" s="446" customFormat="1" x14ac:dyDescent="0.25">
      <c r="A1390" s="26" t="s">
        <v>95</v>
      </c>
      <c r="B1390" s="26" t="s">
        <v>96</v>
      </c>
      <c r="C1390" s="444"/>
      <c r="D1390" s="54" t="s">
        <v>3</v>
      </c>
      <c r="E1390" s="389">
        <v>45043</v>
      </c>
      <c r="F1390" s="456" t="s">
        <v>266</v>
      </c>
      <c r="G1390" s="318" t="s">
        <v>1260</v>
      </c>
      <c r="H1390" s="429">
        <v>31300109</v>
      </c>
      <c r="I1390" s="318">
        <v>581500</v>
      </c>
      <c r="J1390" s="2" t="s">
        <v>1</v>
      </c>
      <c r="K1390" s="27">
        <v>2245000</v>
      </c>
      <c r="L1390" s="4"/>
      <c r="M1390" s="4"/>
      <c r="N1390" s="4"/>
      <c r="O1390" s="4"/>
      <c r="P1390" s="4"/>
      <c r="Q1390" s="453"/>
      <c r="R1390" s="453"/>
      <c r="S1390" s="453"/>
      <c r="T1390" s="453"/>
      <c r="U1390" s="445"/>
      <c r="V1390" s="419"/>
      <c r="W1390" s="457"/>
      <c r="X1390" s="457">
        <v>150000</v>
      </c>
      <c r="Y1390" s="457">
        <v>150000</v>
      </c>
      <c r="Z1390" s="512">
        <v>150000</v>
      </c>
      <c r="AA1390" s="555">
        <v>150000</v>
      </c>
      <c r="AB1390" s="457">
        <v>150000</v>
      </c>
      <c r="AC1390" s="457">
        <v>150000</v>
      </c>
      <c r="AD1390" s="457">
        <v>150000</v>
      </c>
      <c r="AE1390" s="457">
        <v>150000</v>
      </c>
      <c r="AF1390" s="457">
        <v>150000</v>
      </c>
      <c r="AG1390" s="457">
        <v>150000</v>
      </c>
      <c r="AH1390" s="457">
        <v>150000</v>
      </c>
      <c r="AI1390" s="457">
        <v>150000</v>
      </c>
      <c r="AJ1390" s="457">
        <v>150000</v>
      </c>
      <c r="AK1390" s="457">
        <v>150000</v>
      </c>
      <c r="AL1390" s="457">
        <v>145000</v>
      </c>
      <c r="AM1390" s="2" t="s">
        <v>11</v>
      </c>
      <c r="AN1390" s="457"/>
      <c r="AO1390" s="457"/>
      <c r="AP1390" s="457"/>
      <c r="AQ1390" s="2"/>
      <c r="AR1390" s="424"/>
      <c r="AS1390" s="2"/>
      <c r="AT1390" s="2"/>
    </row>
    <row r="1391" spans="1:46" s="446" customFormat="1" x14ac:dyDescent="0.25">
      <c r="A1391" s="400" t="s">
        <v>1285</v>
      </c>
      <c r="B1391" s="26"/>
      <c r="C1391" s="444"/>
      <c r="D1391" s="54"/>
      <c r="E1391" s="387" t="s">
        <v>12</v>
      </c>
      <c r="F1391" s="35"/>
      <c r="G1391" s="35" t="s">
        <v>1261</v>
      </c>
      <c r="H1391" s="146" t="s">
        <v>1107</v>
      </c>
      <c r="I1391" s="35"/>
      <c r="J1391" s="17" t="s">
        <v>2</v>
      </c>
      <c r="K1391" s="447">
        <v>796006.67</v>
      </c>
      <c r="L1391" s="11"/>
      <c r="M1391" s="11"/>
      <c r="N1391" s="11"/>
      <c r="O1391" s="11"/>
      <c r="P1391" s="4"/>
      <c r="Q1391" s="453"/>
      <c r="R1391" s="453"/>
      <c r="S1391" s="453"/>
      <c r="T1391" s="453"/>
      <c r="U1391" s="445"/>
      <c r="V1391" s="448"/>
      <c r="W1391" s="457"/>
      <c r="X1391" s="457">
        <f>48906.67+52400</f>
        <v>101306.67</v>
      </c>
      <c r="Y1391" s="457">
        <f>48650+48650</f>
        <v>97300</v>
      </c>
      <c r="Z1391" s="512">
        <f>44900+44900</f>
        <v>89800</v>
      </c>
      <c r="AA1391" s="555">
        <f>41150+41150</f>
        <v>82300</v>
      </c>
      <c r="AB1391" s="457">
        <f>37400+37400</f>
        <v>74800</v>
      </c>
      <c r="AC1391" s="457">
        <f>33650+33650</f>
        <v>67300</v>
      </c>
      <c r="AD1391" s="457">
        <f>29900+29900</f>
        <v>59800</v>
      </c>
      <c r="AE1391" s="457">
        <f>26150+26150</f>
        <v>52300</v>
      </c>
      <c r="AF1391" s="457">
        <f>22400+22400</f>
        <v>44800</v>
      </c>
      <c r="AG1391" s="457">
        <f>18650+18650</f>
        <v>37300</v>
      </c>
      <c r="AH1391" s="457">
        <f>14900+14900</f>
        <v>29800</v>
      </c>
      <c r="AI1391" s="457">
        <f>11900+11900</f>
        <v>23800</v>
      </c>
      <c r="AJ1391" s="457">
        <f>8900+8900</f>
        <v>17800</v>
      </c>
      <c r="AK1391" s="445">
        <f>5900+5900</f>
        <v>11800</v>
      </c>
      <c r="AL1391" s="445">
        <f>2900+2900</f>
        <v>5800</v>
      </c>
      <c r="AM1391" s="17" t="s">
        <v>11</v>
      </c>
      <c r="AN1391" s="445"/>
      <c r="AO1391" s="445"/>
      <c r="AP1391" s="445"/>
      <c r="AQ1391" s="17"/>
      <c r="AR1391" s="418"/>
      <c r="AS1391" s="17"/>
      <c r="AT1391" s="17"/>
    </row>
    <row r="1392" spans="1:46" s="450" customFormat="1" ht="13.8" thickBot="1" x14ac:dyDescent="0.3">
      <c r="A1392" s="120"/>
      <c r="B1392" s="120"/>
      <c r="C1392" s="120"/>
      <c r="D1392" s="85"/>
      <c r="E1392" s="390" t="s">
        <v>1183</v>
      </c>
      <c r="F1392" s="86" t="s">
        <v>408</v>
      </c>
      <c r="G1392" s="147" t="s">
        <v>1262</v>
      </c>
      <c r="H1392" s="146"/>
      <c r="I1392" s="35"/>
      <c r="J1392" s="450" t="s">
        <v>5</v>
      </c>
      <c r="K1392" s="451">
        <f>K1391+K1390</f>
        <v>3041006.67</v>
      </c>
      <c r="L1392" s="43"/>
      <c r="M1392" s="43"/>
      <c r="N1392" s="43"/>
      <c r="O1392" s="43"/>
      <c r="P1392" s="43">
        <f>P1391+P1390</f>
        <v>0</v>
      </c>
      <c r="Q1392" s="414"/>
      <c r="R1392" s="43">
        <f>R1391+R1390</f>
        <v>0</v>
      </c>
      <c r="S1392" s="43">
        <f>S1391+S1390</f>
        <v>0</v>
      </c>
      <c r="T1392" s="43"/>
      <c r="U1392" s="43">
        <f>U1391+U1390</f>
        <v>0</v>
      </c>
      <c r="V1392" s="412"/>
      <c r="W1392" s="412"/>
      <c r="X1392" s="412">
        <f t="shared" ref="X1392:AL1392" si="1111">X1391+X1390</f>
        <v>251306.66999999998</v>
      </c>
      <c r="Y1392" s="412">
        <f t="shared" si="1111"/>
        <v>247300</v>
      </c>
      <c r="Z1392" s="510">
        <f t="shared" si="1111"/>
        <v>239800</v>
      </c>
      <c r="AA1392" s="553">
        <f t="shared" si="1111"/>
        <v>232300</v>
      </c>
      <c r="AB1392" s="412">
        <f t="shared" si="1111"/>
        <v>224800</v>
      </c>
      <c r="AC1392" s="412">
        <f t="shared" si="1111"/>
        <v>217300</v>
      </c>
      <c r="AD1392" s="412">
        <f t="shared" si="1111"/>
        <v>209800</v>
      </c>
      <c r="AE1392" s="412">
        <f t="shared" si="1111"/>
        <v>202300</v>
      </c>
      <c r="AF1392" s="412">
        <f t="shared" si="1111"/>
        <v>194800</v>
      </c>
      <c r="AG1392" s="412">
        <f t="shared" si="1111"/>
        <v>187300</v>
      </c>
      <c r="AH1392" s="412">
        <f t="shared" si="1111"/>
        <v>179800</v>
      </c>
      <c r="AI1392" s="412">
        <f t="shared" si="1111"/>
        <v>173800</v>
      </c>
      <c r="AJ1392" s="412">
        <f t="shared" si="1111"/>
        <v>167800</v>
      </c>
      <c r="AK1392" s="412">
        <f t="shared" si="1111"/>
        <v>161800</v>
      </c>
      <c r="AL1392" s="412">
        <f t="shared" si="1111"/>
        <v>150800</v>
      </c>
      <c r="AM1392" s="41" t="s">
        <v>11</v>
      </c>
      <c r="AN1392" s="412"/>
      <c r="AO1392" s="412"/>
      <c r="AP1392" s="412"/>
      <c r="AQ1392" s="41"/>
      <c r="AR1392" s="411"/>
      <c r="AS1392" s="41"/>
      <c r="AT1392" s="41"/>
    </row>
    <row r="1393" spans="1:46" s="446" customFormat="1" x14ac:dyDescent="0.25">
      <c r="A1393" s="380" t="s">
        <v>101</v>
      </c>
      <c r="B1393" s="26" t="s">
        <v>96</v>
      </c>
      <c r="C1393" s="444"/>
      <c r="D1393" s="54" t="s">
        <v>3</v>
      </c>
      <c r="E1393" s="389">
        <v>45043</v>
      </c>
      <c r="F1393" s="456" t="s">
        <v>266</v>
      </c>
      <c r="G1393" s="320" t="s">
        <v>1263</v>
      </c>
      <c r="H1393" s="433">
        <v>31210266</v>
      </c>
      <c r="I1393" s="473">
        <v>582008</v>
      </c>
      <c r="J1393" s="2" t="s">
        <v>1</v>
      </c>
      <c r="K1393" s="27">
        <v>2110000</v>
      </c>
      <c r="L1393" s="4"/>
      <c r="M1393" s="4"/>
      <c r="N1393" s="4"/>
      <c r="O1393" s="4"/>
      <c r="P1393" s="4"/>
      <c r="Q1393" s="453"/>
      <c r="R1393" s="453"/>
      <c r="S1393" s="453"/>
      <c r="T1393" s="453"/>
      <c r="U1393" s="445"/>
      <c r="V1393" s="419"/>
      <c r="W1393" s="457"/>
      <c r="X1393" s="457">
        <v>110000</v>
      </c>
      <c r="Y1393" s="457">
        <v>110000</v>
      </c>
      <c r="Z1393" s="512">
        <v>105000</v>
      </c>
      <c r="AA1393" s="555">
        <v>105000</v>
      </c>
      <c r="AB1393" s="457">
        <v>105000</v>
      </c>
      <c r="AC1393" s="457">
        <v>105000</v>
      </c>
      <c r="AD1393" s="457">
        <v>105000</v>
      </c>
      <c r="AE1393" s="457">
        <v>105000</v>
      </c>
      <c r="AF1393" s="457">
        <v>105000</v>
      </c>
      <c r="AG1393" s="457">
        <v>105000</v>
      </c>
      <c r="AH1393" s="457">
        <v>105000</v>
      </c>
      <c r="AI1393" s="457">
        <v>105000</v>
      </c>
      <c r="AJ1393" s="457">
        <v>105000</v>
      </c>
      <c r="AK1393" s="457">
        <v>105000</v>
      </c>
      <c r="AL1393" s="457">
        <v>105000</v>
      </c>
      <c r="AM1393" s="457">
        <v>105000</v>
      </c>
      <c r="AN1393" s="457">
        <v>105000</v>
      </c>
      <c r="AO1393" s="457">
        <v>105000</v>
      </c>
      <c r="AP1393" s="457">
        <v>105000</v>
      </c>
      <c r="AQ1393" s="457">
        <v>105000</v>
      </c>
      <c r="AR1393" s="2" t="s">
        <v>11</v>
      </c>
      <c r="AS1393" s="2"/>
      <c r="AT1393" s="2"/>
    </row>
    <row r="1394" spans="1:46" s="446" customFormat="1" x14ac:dyDescent="0.25">
      <c r="A1394" s="400" t="s">
        <v>1286</v>
      </c>
      <c r="B1394" s="26"/>
      <c r="C1394" s="444"/>
      <c r="D1394" s="54"/>
      <c r="E1394" s="387" t="s">
        <v>12</v>
      </c>
      <c r="F1394" s="35"/>
      <c r="G1394" s="35" t="s">
        <v>1264</v>
      </c>
      <c r="H1394" s="146" t="s">
        <v>1108</v>
      </c>
      <c r="I1394" s="35"/>
      <c r="J1394" s="17" t="s">
        <v>2</v>
      </c>
      <c r="K1394" s="447">
        <v>937333.33</v>
      </c>
      <c r="L1394" s="11"/>
      <c r="M1394" s="11"/>
      <c r="N1394" s="11"/>
      <c r="O1394" s="11"/>
      <c r="P1394" s="4"/>
      <c r="Q1394" s="453"/>
      <c r="R1394" s="453"/>
      <c r="S1394" s="453"/>
      <c r="T1394" s="453"/>
      <c r="U1394" s="445"/>
      <c r="V1394" s="448"/>
      <c r="W1394" s="457"/>
      <c r="X1394" s="457">
        <f>44333.33+47500</f>
        <v>91833.33</v>
      </c>
      <c r="Y1394" s="457">
        <f>44750+44750</f>
        <v>89500</v>
      </c>
      <c r="Z1394" s="512">
        <f>42000+42000</f>
        <v>84000</v>
      </c>
      <c r="AA1394" s="555">
        <f>39375+39375</f>
        <v>78750</v>
      </c>
      <c r="AB1394" s="457">
        <f>36750+36750</f>
        <v>73500</v>
      </c>
      <c r="AC1394" s="457">
        <f>34125+34125</f>
        <v>68250</v>
      </c>
      <c r="AD1394" s="457">
        <f>31500+31500</f>
        <v>63000</v>
      </c>
      <c r="AE1394" s="457">
        <f>28875+28875</f>
        <v>57750</v>
      </c>
      <c r="AF1394" s="457">
        <f>26250+26250</f>
        <v>52500</v>
      </c>
      <c r="AG1394" s="457">
        <f>23625+23625</f>
        <v>47250</v>
      </c>
      <c r="AH1394" s="457">
        <f>21000+21000</f>
        <v>42000</v>
      </c>
      <c r="AI1394" s="457">
        <f>18900+18900</f>
        <v>37800</v>
      </c>
      <c r="AJ1394" s="457">
        <f>16800+16800</f>
        <v>33600</v>
      </c>
      <c r="AK1394" s="457">
        <f>14700+14700</f>
        <v>29400</v>
      </c>
      <c r="AL1394" s="457">
        <f>12600+12600</f>
        <v>25200</v>
      </c>
      <c r="AM1394" s="457">
        <f>10500+10500</f>
        <v>21000</v>
      </c>
      <c r="AN1394" s="457">
        <f>8400+8400</f>
        <v>16800</v>
      </c>
      <c r="AO1394" s="457">
        <f>6300+6300</f>
        <v>12600</v>
      </c>
      <c r="AP1394" s="457">
        <f>4200+4200</f>
        <v>8400</v>
      </c>
      <c r="AQ1394" s="457">
        <f>2100+2100</f>
        <v>4200</v>
      </c>
      <c r="AR1394" s="17" t="s">
        <v>11</v>
      </c>
      <c r="AS1394" s="17"/>
      <c r="AT1394" s="17"/>
    </row>
    <row r="1395" spans="1:46" s="450" customFormat="1" ht="13.8" thickBot="1" x14ac:dyDescent="0.3">
      <c r="A1395" s="120"/>
      <c r="B1395" s="120"/>
      <c r="C1395" s="120"/>
      <c r="D1395" s="85"/>
      <c r="E1395" s="390" t="s">
        <v>40</v>
      </c>
      <c r="F1395" s="391" t="s">
        <v>412</v>
      </c>
      <c r="G1395" s="141" t="s">
        <v>1265</v>
      </c>
      <c r="H1395" s="145"/>
      <c r="I1395" s="125"/>
      <c r="J1395" s="450" t="s">
        <v>5</v>
      </c>
      <c r="K1395" s="451">
        <f>K1394+K1393</f>
        <v>3047333.33</v>
      </c>
      <c r="L1395" s="43"/>
      <c r="M1395" s="43"/>
      <c r="N1395" s="43"/>
      <c r="O1395" s="43"/>
      <c r="P1395" s="43">
        <f>P1394+P1393</f>
        <v>0</v>
      </c>
      <c r="Q1395" s="414"/>
      <c r="R1395" s="43">
        <f>R1394+R1393</f>
        <v>0</v>
      </c>
      <c r="S1395" s="43">
        <f>S1394+S1393</f>
        <v>0</v>
      </c>
      <c r="T1395" s="43"/>
      <c r="U1395" s="43">
        <f>U1394+U1393</f>
        <v>0</v>
      </c>
      <c r="V1395" s="412"/>
      <c r="W1395" s="412"/>
      <c r="X1395" s="412">
        <f>X1394+X1393</f>
        <v>201833.33000000002</v>
      </c>
      <c r="Y1395" s="412">
        <f>Y1394+Y1393</f>
        <v>199500</v>
      </c>
      <c r="Z1395" s="510">
        <f>Z1394+Z1393</f>
        <v>189000</v>
      </c>
      <c r="AA1395" s="553">
        <f>AA1394+AA1393</f>
        <v>183750</v>
      </c>
      <c r="AB1395" s="412">
        <f t="shared" ref="AB1395:AQ1395" si="1112">AB1394+AB1393</f>
        <v>178500</v>
      </c>
      <c r="AC1395" s="412">
        <f t="shared" si="1112"/>
        <v>173250</v>
      </c>
      <c r="AD1395" s="412">
        <f t="shared" si="1112"/>
        <v>168000</v>
      </c>
      <c r="AE1395" s="412">
        <f t="shared" si="1112"/>
        <v>162750</v>
      </c>
      <c r="AF1395" s="412">
        <f t="shared" si="1112"/>
        <v>157500</v>
      </c>
      <c r="AG1395" s="412">
        <f t="shared" si="1112"/>
        <v>152250</v>
      </c>
      <c r="AH1395" s="412">
        <f t="shared" si="1112"/>
        <v>147000</v>
      </c>
      <c r="AI1395" s="412">
        <f t="shared" si="1112"/>
        <v>142800</v>
      </c>
      <c r="AJ1395" s="412">
        <f t="shared" si="1112"/>
        <v>138600</v>
      </c>
      <c r="AK1395" s="412">
        <f t="shared" si="1112"/>
        <v>134400</v>
      </c>
      <c r="AL1395" s="412">
        <f t="shared" si="1112"/>
        <v>130200</v>
      </c>
      <c r="AM1395" s="412">
        <f t="shared" si="1112"/>
        <v>126000</v>
      </c>
      <c r="AN1395" s="412">
        <f t="shared" si="1112"/>
        <v>121800</v>
      </c>
      <c r="AO1395" s="412">
        <f t="shared" si="1112"/>
        <v>117600</v>
      </c>
      <c r="AP1395" s="412">
        <f t="shared" si="1112"/>
        <v>113400</v>
      </c>
      <c r="AQ1395" s="412">
        <f t="shared" si="1112"/>
        <v>109200</v>
      </c>
      <c r="AR1395" s="41" t="s">
        <v>11</v>
      </c>
      <c r="AS1395" s="41"/>
      <c r="AT1395" s="41"/>
    </row>
    <row r="1396" spans="1:46" s="446" customFormat="1" x14ac:dyDescent="0.25">
      <c r="A1396" s="380" t="s">
        <v>102</v>
      </c>
      <c r="B1396" s="26" t="s">
        <v>96</v>
      </c>
      <c r="C1396" s="444"/>
      <c r="D1396" s="54" t="s">
        <v>3</v>
      </c>
      <c r="E1396" s="389">
        <v>45043</v>
      </c>
      <c r="F1396" s="456" t="s">
        <v>266</v>
      </c>
      <c r="G1396" s="314" t="s">
        <v>1267</v>
      </c>
      <c r="H1396" s="428">
        <v>31155153</v>
      </c>
      <c r="I1396" s="314">
        <v>585012</v>
      </c>
      <c r="J1396" s="2" t="s">
        <v>1</v>
      </c>
      <c r="K1396" s="27">
        <v>470000</v>
      </c>
      <c r="L1396" s="4"/>
      <c r="M1396" s="4"/>
      <c r="N1396" s="4"/>
      <c r="O1396" s="4"/>
      <c r="P1396" s="4"/>
      <c r="Q1396" s="453"/>
      <c r="R1396" s="453"/>
      <c r="S1396" s="453"/>
      <c r="T1396" s="453"/>
      <c r="U1396" s="445"/>
      <c r="V1396" s="420"/>
      <c r="W1396" s="445"/>
      <c r="X1396" s="445">
        <v>95000</v>
      </c>
      <c r="Y1396" s="445">
        <v>95000</v>
      </c>
      <c r="Z1396" s="513">
        <v>95000</v>
      </c>
      <c r="AA1396" s="556">
        <v>95000</v>
      </c>
      <c r="AB1396" s="445">
        <v>90000</v>
      </c>
      <c r="AC1396" s="2" t="s">
        <v>11</v>
      </c>
      <c r="AD1396" s="445"/>
      <c r="AE1396" s="445"/>
      <c r="AF1396" s="445"/>
      <c r="AG1396" s="2"/>
      <c r="AH1396" s="419"/>
      <c r="AI1396" s="419"/>
      <c r="AJ1396" s="419"/>
      <c r="AK1396" s="424"/>
      <c r="AL1396" s="424"/>
      <c r="AM1396" s="424"/>
      <c r="AN1396" s="424"/>
      <c r="AO1396" s="424"/>
      <c r="AP1396" s="424"/>
      <c r="AQ1396" s="424"/>
      <c r="AR1396" s="424"/>
      <c r="AS1396" s="2"/>
      <c r="AT1396" s="2"/>
    </row>
    <row r="1397" spans="1:46" s="446" customFormat="1" x14ac:dyDescent="0.25">
      <c r="A1397" s="400" t="s">
        <v>1287</v>
      </c>
      <c r="B1397" s="26"/>
      <c r="C1397" s="444"/>
      <c r="D1397" s="54"/>
      <c r="E1397" s="387" t="s">
        <v>12</v>
      </c>
      <c r="F1397" s="35"/>
      <c r="G1397" s="35" t="s">
        <v>1268</v>
      </c>
      <c r="H1397" s="146" t="s">
        <v>1106</v>
      </c>
      <c r="I1397" s="35"/>
      <c r="J1397" s="17" t="s">
        <v>2</v>
      </c>
      <c r="K1397" s="447">
        <v>69216.67</v>
      </c>
      <c r="L1397" s="11"/>
      <c r="M1397" s="11"/>
      <c r="N1397" s="11"/>
      <c r="O1397" s="11"/>
      <c r="P1397" s="4"/>
      <c r="Q1397" s="453"/>
      <c r="R1397" s="453"/>
      <c r="S1397" s="453"/>
      <c r="T1397" s="453"/>
      <c r="U1397" s="445"/>
      <c r="V1397" s="420"/>
      <c r="W1397" s="445"/>
      <c r="X1397" s="445">
        <f>10966.67+11750</f>
        <v>22716.67</v>
      </c>
      <c r="Y1397" s="445">
        <f>9375+9375</f>
        <v>18750</v>
      </c>
      <c r="Z1397" s="513">
        <f>7000+7000</f>
        <v>14000</v>
      </c>
      <c r="AA1397" s="556">
        <f>4625+4625</f>
        <v>9250</v>
      </c>
      <c r="AB1397" s="445">
        <f>2250+2250</f>
        <v>4500</v>
      </c>
      <c r="AC1397" s="17" t="s">
        <v>11</v>
      </c>
      <c r="AD1397" s="445"/>
      <c r="AE1397" s="445"/>
      <c r="AF1397" s="445"/>
      <c r="AG1397" s="17"/>
      <c r="AH1397" s="419"/>
      <c r="AI1397" s="419"/>
      <c r="AJ1397" s="419"/>
      <c r="AK1397" s="418"/>
      <c r="AL1397" s="418"/>
      <c r="AM1397" s="418"/>
      <c r="AN1397" s="418"/>
      <c r="AO1397" s="418"/>
      <c r="AP1397" s="418"/>
      <c r="AQ1397" s="418"/>
      <c r="AR1397" s="418"/>
      <c r="AS1397" s="17"/>
      <c r="AT1397" s="17"/>
    </row>
    <row r="1398" spans="1:46" s="450" customFormat="1" ht="13.8" thickBot="1" x14ac:dyDescent="0.3">
      <c r="A1398" s="120"/>
      <c r="B1398" s="120"/>
      <c r="C1398" s="120"/>
      <c r="D1398" s="85"/>
      <c r="E1398" s="145" t="s">
        <v>160</v>
      </c>
      <c r="F1398" s="391" t="s">
        <v>412</v>
      </c>
      <c r="G1398" s="147" t="s">
        <v>1266</v>
      </c>
      <c r="H1398" s="145"/>
      <c r="I1398" s="125"/>
      <c r="J1398" s="450" t="s">
        <v>5</v>
      </c>
      <c r="K1398" s="451">
        <f>K1397+K1396</f>
        <v>539216.67000000004</v>
      </c>
      <c r="L1398" s="43"/>
      <c r="M1398" s="43"/>
      <c r="N1398" s="43"/>
      <c r="O1398" s="43"/>
      <c r="P1398" s="43">
        <f>P1397+P1396</f>
        <v>0</v>
      </c>
      <c r="Q1398" s="414"/>
      <c r="R1398" s="43">
        <f>R1397+R1396</f>
        <v>0</v>
      </c>
      <c r="S1398" s="43">
        <f>S1397+S1396</f>
        <v>0</v>
      </c>
      <c r="T1398" s="43"/>
      <c r="U1398" s="43">
        <f t="shared" ref="U1398:AB1398" si="1113">U1397+U1396</f>
        <v>0</v>
      </c>
      <c r="V1398" s="412"/>
      <c r="W1398" s="412"/>
      <c r="X1398" s="412">
        <f t="shared" si="1113"/>
        <v>117716.67</v>
      </c>
      <c r="Y1398" s="412">
        <f t="shared" si="1113"/>
        <v>113750</v>
      </c>
      <c r="Z1398" s="510">
        <f t="shared" si="1113"/>
        <v>109000</v>
      </c>
      <c r="AA1398" s="553">
        <f t="shared" si="1113"/>
        <v>104250</v>
      </c>
      <c r="AB1398" s="412">
        <f t="shared" si="1113"/>
        <v>94500</v>
      </c>
      <c r="AC1398" s="41" t="s">
        <v>11</v>
      </c>
      <c r="AD1398" s="412"/>
      <c r="AE1398" s="412"/>
      <c r="AF1398" s="412"/>
      <c r="AG1398" s="41"/>
      <c r="AH1398" s="412"/>
      <c r="AI1398" s="412"/>
      <c r="AJ1398" s="412"/>
      <c r="AK1398" s="411"/>
      <c r="AL1398" s="411"/>
      <c r="AM1398" s="411"/>
      <c r="AN1398" s="411"/>
      <c r="AO1398" s="411"/>
      <c r="AP1398" s="411"/>
      <c r="AQ1398" s="411"/>
      <c r="AR1398" s="411"/>
      <c r="AS1398" s="41"/>
      <c r="AT1398" s="41"/>
    </row>
    <row r="1399" spans="1:46" s="3" customFormat="1" x14ac:dyDescent="0.25">
      <c r="A1399" s="121"/>
      <c r="B1399" s="121"/>
      <c r="C1399" s="306"/>
      <c r="D1399" s="54"/>
      <c r="E1399" s="54"/>
      <c r="F1399" s="54"/>
      <c r="G1399" s="36" t="s">
        <v>32</v>
      </c>
      <c r="H1399" s="152">
        <v>1774719</v>
      </c>
      <c r="I1399" s="36">
        <v>591100</v>
      </c>
      <c r="J1399" s="33" t="s">
        <v>1</v>
      </c>
      <c r="K1399" s="37">
        <f>K1390+K1393+K1396</f>
        <v>4825000</v>
      </c>
      <c r="L1399" s="7"/>
      <c r="M1399" s="7"/>
      <c r="N1399" s="67"/>
      <c r="O1399" s="67"/>
      <c r="P1399" s="67"/>
      <c r="Q1399" s="67"/>
      <c r="R1399" s="67"/>
      <c r="S1399" s="67"/>
      <c r="T1399" s="67" t="e">
        <f>#REF!+#REF!+#REF!+#REF!+#REF!+#REF!+#REF!+#REF!+#REF!+#REF!+#REF!+#REF!+#REF!+#REF!</f>
        <v>#REF!</v>
      </c>
      <c r="U1399" s="67"/>
      <c r="V1399" s="67"/>
      <c r="W1399" s="67"/>
      <c r="X1399" s="67">
        <f>X1390+X1393+X1396</f>
        <v>355000</v>
      </c>
      <c r="Y1399" s="67">
        <f t="shared" ref="Y1399:AB1399" si="1114">Y1390+Y1393+Y1396</f>
        <v>355000</v>
      </c>
      <c r="Z1399" s="507">
        <f t="shared" si="1114"/>
        <v>350000</v>
      </c>
      <c r="AA1399" s="546">
        <f t="shared" si="1114"/>
        <v>350000</v>
      </c>
      <c r="AB1399" s="67">
        <f t="shared" si="1114"/>
        <v>345000</v>
      </c>
      <c r="AC1399" s="67">
        <f>AC1390+AC1393</f>
        <v>255000</v>
      </c>
      <c r="AD1399" s="67">
        <f t="shared" ref="AD1399:AL1399" si="1115">AD1390+AD1393</f>
        <v>255000</v>
      </c>
      <c r="AE1399" s="67">
        <f t="shared" si="1115"/>
        <v>255000</v>
      </c>
      <c r="AF1399" s="67">
        <f t="shared" si="1115"/>
        <v>255000</v>
      </c>
      <c r="AG1399" s="67">
        <f t="shared" si="1115"/>
        <v>255000</v>
      </c>
      <c r="AH1399" s="67">
        <f t="shared" si="1115"/>
        <v>255000</v>
      </c>
      <c r="AI1399" s="67">
        <f t="shared" si="1115"/>
        <v>255000</v>
      </c>
      <c r="AJ1399" s="67">
        <f t="shared" si="1115"/>
        <v>255000</v>
      </c>
      <c r="AK1399" s="67">
        <f t="shared" si="1115"/>
        <v>255000</v>
      </c>
      <c r="AL1399" s="67">
        <f t="shared" si="1115"/>
        <v>250000</v>
      </c>
      <c r="AM1399" s="67">
        <f>AM1393</f>
        <v>105000</v>
      </c>
      <c r="AN1399" s="67">
        <f t="shared" ref="AN1399:AP1399" si="1116">AN1393</f>
        <v>105000</v>
      </c>
      <c r="AO1399" s="67">
        <f t="shared" si="1116"/>
        <v>105000</v>
      </c>
      <c r="AP1399" s="67">
        <f t="shared" si="1116"/>
        <v>105000</v>
      </c>
      <c r="AQ1399" s="67">
        <f t="shared" ref="AQ1399" si="1117">AQ1393</f>
        <v>105000</v>
      </c>
      <c r="AR1399" s="3" t="s">
        <v>11</v>
      </c>
    </row>
    <row r="1400" spans="1:46" s="3" customFormat="1" x14ac:dyDescent="0.25">
      <c r="A1400" s="121"/>
      <c r="B1400" s="121"/>
      <c r="C1400" s="306"/>
      <c r="D1400" s="54"/>
      <c r="E1400" s="54"/>
      <c r="F1400" s="54"/>
      <c r="G1400" s="33"/>
      <c r="H1400" s="152">
        <v>1774719</v>
      </c>
      <c r="I1400" s="33">
        <v>595100</v>
      </c>
      <c r="J1400" s="38" t="s">
        <v>2</v>
      </c>
      <c r="K1400" s="37">
        <f>K1391+K1394+K1397</f>
        <v>1802556.67</v>
      </c>
      <c r="L1400" s="16"/>
      <c r="M1400" s="16"/>
      <c r="N1400" s="7"/>
      <c r="O1400" s="7"/>
      <c r="P1400" s="7"/>
      <c r="Q1400" s="7"/>
      <c r="R1400" s="7"/>
      <c r="S1400" s="7"/>
      <c r="T1400" s="7" t="e">
        <f>#REF!+#REF!+#REF!+#REF!+#REF!+#REF!+#REF!+#REF!+#REF!+#REF!+#REF!+#REF!+#REF!+#REF!</f>
        <v>#REF!</v>
      </c>
      <c r="U1400" s="7"/>
      <c r="V1400" s="7"/>
      <c r="W1400" s="7"/>
      <c r="X1400" s="7">
        <f>X1391+X1394+X1397</f>
        <v>215856.66999999998</v>
      </c>
      <c r="Y1400" s="7">
        <f t="shared" ref="Y1400:AB1400" si="1118">Y1391+Y1394+Y1397</f>
        <v>205550</v>
      </c>
      <c r="Z1400" s="501">
        <f t="shared" si="1118"/>
        <v>187800</v>
      </c>
      <c r="AA1400" s="540">
        <f t="shared" si="1118"/>
        <v>170300</v>
      </c>
      <c r="AB1400" s="7">
        <f t="shared" si="1118"/>
        <v>152800</v>
      </c>
      <c r="AC1400" s="7">
        <f>AC1391+AC1394</f>
        <v>135550</v>
      </c>
      <c r="AD1400" s="7">
        <f t="shared" ref="AD1400:AL1400" si="1119">AD1391+AD1394</f>
        <v>122800</v>
      </c>
      <c r="AE1400" s="7">
        <f t="shared" si="1119"/>
        <v>110050</v>
      </c>
      <c r="AF1400" s="7">
        <f t="shared" si="1119"/>
        <v>97300</v>
      </c>
      <c r="AG1400" s="7">
        <f t="shared" si="1119"/>
        <v>84550</v>
      </c>
      <c r="AH1400" s="7">
        <f t="shared" si="1119"/>
        <v>71800</v>
      </c>
      <c r="AI1400" s="7">
        <f t="shared" si="1119"/>
        <v>61600</v>
      </c>
      <c r="AJ1400" s="7">
        <f t="shared" si="1119"/>
        <v>51400</v>
      </c>
      <c r="AK1400" s="7">
        <f t="shared" si="1119"/>
        <v>41200</v>
      </c>
      <c r="AL1400" s="7">
        <f t="shared" si="1119"/>
        <v>31000</v>
      </c>
      <c r="AM1400" s="7">
        <f>AM1394</f>
        <v>21000</v>
      </c>
      <c r="AN1400" s="7">
        <f t="shared" ref="AN1400:AP1400" si="1120">AN1394</f>
        <v>16800</v>
      </c>
      <c r="AO1400" s="7">
        <f t="shared" si="1120"/>
        <v>12600</v>
      </c>
      <c r="AP1400" s="7">
        <f t="shared" si="1120"/>
        <v>8400</v>
      </c>
      <c r="AQ1400" s="7">
        <f t="shared" ref="AQ1400" si="1121">AQ1394</f>
        <v>4200</v>
      </c>
      <c r="AR1400" s="20" t="s">
        <v>11</v>
      </c>
      <c r="AS1400" s="20"/>
      <c r="AT1400" s="20"/>
    </row>
    <row r="1401" spans="1:46" s="8" customFormat="1" ht="13.8" thickBot="1" x14ac:dyDescent="0.3">
      <c r="A1401" s="122"/>
      <c r="B1401" s="122"/>
      <c r="C1401" s="307"/>
      <c r="D1401" s="85"/>
      <c r="E1401" s="85"/>
      <c r="F1401" s="85"/>
      <c r="G1401" s="141" t="s">
        <v>1283</v>
      </c>
      <c r="H1401" s="85"/>
      <c r="I1401" s="85"/>
      <c r="J1401" s="44" t="s">
        <v>5</v>
      </c>
      <c r="K1401" s="45">
        <f>K1400+K1399</f>
        <v>6627556.6699999999</v>
      </c>
      <c r="L1401" s="46"/>
      <c r="M1401" s="46"/>
      <c r="N1401" s="46"/>
      <c r="O1401" s="46"/>
      <c r="P1401" s="46"/>
      <c r="Q1401" s="46"/>
      <c r="R1401" s="46"/>
      <c r="S1401" s="46"/>
      <c r="T1401" s="46" t="e">
        <f t="shared" ref="T1401" si="1122">T1400+T1399</f>
        <v>#REF!</v>
      </c>
      <c r="U1401" s="46"/>
      <c r="V1401" s="46"/>
      <c r="W1401" s="46"/>
      <c r="X1401" s="46">
        <f t="shared" ref="X1401:Y1401" si="1123">X1400+X1399</f>
        <v>570856.66999999993</v>
      </c>
      <c r="Y1401" s="46">
        <f t="shared" si="1123"/>
        <v>560550</v>
      </c>
      <c r="Z1401" s="503">
        <f t="shared" ref="Z1401:AB1401" si="1124">Z1400+Z1399</f>
        <v>537800</v>
      </c>
      <c r="AA1401" s="542">
        <f t="shared" si="1124"/>
        <v>520300</v>
      </c>
      <c r="AB1401" s="46">
        <f t="shared" si="1124"/>
        <v>497800</v>
      </c>
      <c r="AC1401" s="46">
        <f t="shared" ref="AC1401:AF1401" si="1125">AC1400+AC1399</f>
        <v>390550</v>
      </c>
      <c r="AD1401" s="46">
        <f t="shared" si="1125"/>
        <v>377800</v>
      </c>
      <c r="AE1401" s="46">
        <f t="shared" si="1125"/>
        <v>365050</v>
      </c>
      <c r="AF1401" s="46">
        <f t="shared" si="1125"/>
        <v>352300</v>
      </c>
      <c r="AG1401" s="46">
        <f t="shared" ref="AG1401" si="1126">AG1400+AG1399</f>
        <v>339550</v>
      </c>
      <c r="AH1401" s="46">
        <f t="shared" ref="AH1401:AP1401" si="1127">AH1400+AH1399</f>
        <v>326800</v>
      </c>
      <c r="AI1401" s="46">
        <f t="shared" si="1127"/>
        <v>316600</v>
      </c>
      <c r="AJ1401" s="46">
        <f t="shared" si="1127"/>
        <v>306400</v>
      </c>
      <c r="AK1401" s="46">
        <f t="shared" si="1127"/>
        <v>296200</v>
      </c>
      <c r="AL1401" s="46">
        <f t="shared" si="1127"/>
        <v>281000</v>
      </c>
      <c r="AM1401" s="46">
        <f t="shared" si="1127"/>
        <v>126000</v>
      </c>
      <c r="AN1401" s="46">
        <f t="shared" si="1127"/>
        <v>121800</v>
      </c>
      <c r="AO1401" s="46">
        <f t="shared" si="1127"/>
        <v>117600</v>
      </c>
      <c r="AP1401" s="46">
        <f t="shared" si="1127"/>
        <v>113400</v>
      </c>
      <c r="AQ1401" s="46">
        <f t="shared" ref="AQ1401" si="1128">AQ1400+AQ1399</f>
        <v>109200</v>
      </c>
      <c r="AR1401" s="47" t="s">
        <v>11</v>
      </c>
      <c r="AS1401" s="47"/>
      <c r="AT1401" s="47"/>
    </row>
    <row r="1402" spans="1:46" s="446" customFormat="1" x14ac:dyDescent="0.25">
      <c r="A1402" s="380" t="s">
        <v>0</v>
      </c>
      <c r="B1402" s="26" t="s">
        <v>96</v>
      </c>
      <c r="C1402" s="26"/>
      <c r="D1402" s="332" t="s">
        <v>0</v>
      </c>
      <c r="E1402" s="466">
        <v>45043</v>
      </c>
      <c r="F1402" s="24" t="s">
        <v>1350</v>
      </c>
      <c r="G1402" s="319" t="s">
        <v>113</v>
      </c>
      <c r="H1402" s="471">
        <v>60312272</v>
      </c>
      <c r="I1402" s="471">
        <v>584009</v>
      </c>
      <c r="J1402" s="2" t="s">
        <v>1</v>
      </c>
      <c r="K1402" s="452">
        <v>920000</v>
      </c>
      <c r="L1402" s="4"/>
      <c r="M1402" s="4"/>
      <c r="N1402" s="4"/>
      <c r="O1402" s="4"/>
      <c r="P1402" s="4"/>
      <c r="Q1402" s="445">
        <v>35000</v>
      </c>
      <c r="R1402" s="445">
        <v>35000</v>
      </c>
      <c r="S1402" s="453"/>
      <c r="T1402" s="453"/>
      <c r="U1402" s="445"/>
      <c r="V1402" s="419"/>
      <c r="W1402" s="445"/>
      <c r="X1402" s="445">
        <v>50000</v>
      </c>
      <c r="Y1402" s="445">
        <v>50000</v>
      </c>
      <c r="Z1402" s="513">
        <v>50000</v>
      </c>
      <c r="AA1402" s="556">
        <v>50000</v>
      </c>
      <c r="AB1402" s="445">
        <v>45000</v>
      </c>
      <c r="AC1402" s="445">
        <v>45000</v>
      </c>
      <c r="AD1402" s="445">
        <v>45000</v>
      </c>
      <c r="AE1402" s="445">
        <v>45000</v>
      </c>
      <c r="AF1402" s="445">
        <v>45000</v>
      </c>
      <c r="AG1402" s="445">
        <v>45000</v>
      </c>
      <c r="AH1402" s="445">
        <v>45000</v>
      </c>
      <c r="AI1402" s="445">
        <v>45000</v>
      </c>
      <c r="AJ1402" s="445">
        <v>45000</v>
      </c>
      <c r="AK1402" s="445">
        <v>45000</v>
      </c>
      <c r="AL1402" s="445">
        <v>45000</v>
      </c>
      <c r="AM1402" s="445">
        <v>45000</v>
      </c>
      <c r="AN1402" s="445">
        <v>45000</v>
      </c>
      <c r="AO1402" s="445">
        <v>45000</v>
      </c>
      <c r="AP1402" s="445">
        <v>45000</v>
      </c>
      <c r="AQ1402" s="445">
        <v>45000</v>
      </c>
      <c r="AR1402" s="2" t="s">
        <v>11</v>
      </c>
      <c r="AS1402" s="4"/>
      <c r="AT1402" s="4"/>
    </row>
    <row r="1403" spans="1:46" s="446" customFormat="1" x14ac:dyDescent="0.25">
      <c r="A1403" s="400" t="s">
        <v>1288</v>
      </c>
      <c r="B1403" s="26"/>
      <c r="C1403" s="26"/>
      <c r="D1403" s="454"/>
      <c r="E1403" s="317" t="s">
        <v>13</v>
      </c>
      <c r="F1403" s="15"/>
      <c r="G1403" s="148" t="s">
        <v>1270</v>
      </c>
      <c r="H1403" s="148" t="s">
        <v>1108</v>
      </c>
      <c r="I1403" s="148"/>
      <c r="J1403" s="17" t="s">
        <v>2</v>
      </c>
      <c r="K1403" s="447">
        <v>403866.67</v>
      </c>
      <c r="L1403" s="11"/>
      <c r="M1403" s="11"/>
      <c r="N1403" s="11"/>
      <c r="O1403" s="11"/>
      <c r="P1403" s="11"/>
      <c r="Q1403" s="445">
        <v>41013</v>
      </c>
      <c r="R1403" s="445">
        <v>39525</v>
      </c>
      <c r="S1403" s="453"/>
      <c r="T1403" s="453"/>
      <c r="U1403" s="445"/>
      <c r="V1403" s="419"/>
      <c r="W1403" s="445"/>
      <c r="X1403" s="445">
        <f>19366.67+20750</f>
        <v>40116.67</v>
      </c>
      <c r="Y1403" s="445">
        <f>19500+19500</f>
        <v>39000</v>
      </c>
      <c r="Z1403" s="513">
        <f>18250+18250</f>
        <v>36500</v>
      </c>
      <c r="AA1403" s="556">
        <f>17000+17000</f>
        <v>34000</v>
      </c>
      <c r="AB1403" s="445">
        <f>15750+15750</f>
        <v>31500</v>
      </c>
      <c r="AC1403" s="445">
        <f>14625+14625</f>
        <v>29250</v>
      </c>
      <c r="AD1403" s="445">
        <f>13500+13500</f>
        <v>27000</v>
      </c>
      <c r="AE1403" s="445">
        <f>12375+12375</f>
        <v>24750</v>
      </c>
      <c r="AF1403" s="445">
        <f>11250+11250</f>
        <v>22500</v>
      </c>
      <c r="AG1403" s="445">
        <f>10125+10125</f>
        <v>20250</v>
      </c>
      <c r="AH1403" s="445">
        <f>9000+9000</f>
        <v>18000</v>
      </c>
      <c r="AI1403" s="445">
        <f>8100+8100</f>
        <v>16200</v>
      </c>
      <c r="AJ1403" s="445">
        <f>7200+7200</f>
        <v>14400</v>
      </c>
      <c r="AK1403" s="445">
        <f>6300+6300</f>
        <v>12600</v>
      </c>
      <c r="AL1403" s="445">
        <f>5400+5400</f>
        <v>10800</v>
      </c>
      <c r="AM1403" s="445">
        <f>4500+4500</f>
        <v>9000</v>
      </c>
      <c r="AN1403" s="445">
        <f>3600+3600</f>
        <v>7200</v>
      </c>
      <c r="AO1403" s="445">
        <f>2700+2700</f>
        <v>5400</v>
      </c>
      <c r="AP1403" s="445">
        <f>1800+1800</f>
        <v>3600</v>
      </c>
      <c r="AQ1403" s="468">
        <f>900+900</f>
        <v>1800</v>
      </c>
      <c r="AR1403" s="17" t="s">
        <v>11</v>
      </c>
      <c r="AS1403" s="11"/>
      <c r="AT1403" s="11"/>
    </row>
    <row r="1404" spans="1:46" s="450" customFormat="1" ht="13.8" thickBot="1" x14ac:dyDescent="0.3">
      <c r="A1404" s="120"/>
      <c r="B1404" s="120"/>
      <c r="C1404" s="120"/>
      <c r="D1404" s="455"/>
      <c r="E1404" s="88" t="s">
        <v>14</v>
      </c>
      <c r="F1404" s="88" t="s">
        <v>406</v>
      </c>
      <c r="G1404" s="149" t="s">
        <v>1269</v>
      </c>
      <c r="H1404" s="143"/>
      <c r="I1404" s="143"/>
      <c r="J1404" s="450" t="s">
        <v>5</v>
      </c>
      <c r="K1404" s="451">
        <f>K1403+K1402</f>
        <v>1323866.67</v>
      </c>
      <c r="L1404" s="43"/>
      <c r="M1404" s="43"/>
      <c r="N1404" s="43"/>
      <c r="O1404" s="43"/>
      <c r="P1404" s="43"/>
      <c r="Q1404" s="413">
        <f>Q1403+Q1402</f>
        <v>76013</v>
      </c>
      <c r="R1404" s="413">
        <f>R1403+R1402</f>
        <v>74525</v>
      </c>
      <c r="S1404" s="43">
        <f>S1403+S1402</f>
        <v>0</v>
      </c>
      <c r="T1404" s="43"/>
      <c r="U1404" s="413">
        <f t="shared" ref="U1404" si="1129">U1403+U1402</f>
        <v>0</v>
      </c>
      <c r="V1404" s="412"/>
      <c r="W1404" s="412"/>
      <c r="X1404" s="412">
        <f t="shared" ref="X1404:AP1404" si="1130">X1403+X1402</f>
        <v>90116.67</v>
      </c>
      <c r="Y1404" s="412">
        <f t="shared" si="1130"/>
        <v>89000</v>
      </c>
      <c r="Z1404" s="510">
        <f t="shared" si="1130"/>
        <v>86500</v>
      </c>
      <c r="AA1404" s="553">
        <f t="shared" si="1130"/>
        <v>84000</v>
      </c>
      <c r="AB1404" s="412">
        <f t="shared" si="1130"/>
        <v>76500</v>
      </c>
      <c r="AC1404" s="412">
        <f t="shared" si="1130"/>
        <v>74250</v>
      </c>
      <c r="AD1404" s="412">
        <f t="shared" si="1130"/>
        <v>72000</v>
      </c>
      <c r="AE1404" s="412">
        <f t="shared" si="1130"/>
        <v>69750</v>
      </c>
      <c r="AF1404" s="412">
        <f t="shared" si="1130"/>
        <v>67500</v>
      </c>
      <c r="AG1404" s="412">
        <f t="shared" si="1130"/>
        <v>65250</v>
      </c>
      <c r="AH1404" s="412">
        <f t="shared" si="1130"/>
        <v>63000</v>
      </c>
      <c r="AI1404" s="412">
        <f t="shared" si="1130"/>
        <v>61200</v>
      </c>
      <c r="AJ1404" s="412">
        <f t="shared" si="1130"/>
        <v>59400</v>
      </c>
      <c r="AK1404" s="412">
        <f t="shared" si="1130"/>
        <v>57600</v>
      </c>
      <c r="AL1404" s="412">
        <f t="shared" si="1130"/>
        <v>55800</v>
      </c>
      <c r="AM1404" s="412">
        <f t="shared" si="1130"/>
        <v>54000</v>
      </c>
      <c r="AN1404" s="412">
        <f t="shared" si="1130"/>
        <v>52200</v>
      </c>
      <c r="AO1404" s="412">
        <f t="shared" si="1130"/>
        <v>50400</v>
      </c>
      <c r="AP1404" s="412">
        <f t="shared" si="1130"/>
        <v>48600</v>
      </c>
      <c r="AQ1404" s="412">
        <f t="shared" ref="AQ1404" si="1131">AQ1403+AQ1402</f>
        <v>46800</v>
      </c>
      <c r="AR1404" s="41" t="s">
        <v>11</v>
      </c>
      <c r="AS1404" s="43"/>
      <c r="AT1404" s="43"/>
    </row>
    <row r="1405" spans="1:46" s="8" customFormat="1" x14ac:dyDescent="0.25">
      <c r="A1405" s="121"/>
      <c r="B1405" s="121"/>
      <c r="C1405" s="306"/>
      <c r="D1405" s="332"/>
      <c r="E1405" s="332"/>
      <c r="F1405" s="332"/>
      <c r="G1405" s="13" t="s">
        <v>33</v>
      </c>
      <c r="H1405" s="13">
        <v>60774719</v>
      </c>
      <c r="I1405" s="13">
        <v>591100</v>
      </c>
      <c r="J1405" s="14" t="s">
        <v>1</v>
      </c>
      <c r="K1405" s="29">
        <f>K1402</f>
        <v>920000</v>
      </c>
      <c r="L1405" s="7"/>
      <c r="M1405" s="7"/>
      <c r="N1405" s="67"/>
      <c r="O1405" s="67"/>
      <c r="P1405" s="67"/>
      <c r="Q1405" s="67"/>
      <c r="R1405" s="67"/>
      <c r="S1405" s="67"/>
      <c r="T1405" s="67">
        <f t="shared" ref="T1405:T1406" si="1132">T1402</f>
        <v>0</v>
      </c>
      <c r="U1405" s="67">
        <f>U1402</f>
        <v>0</v>
      </c>
      <c r="V1405" s="67"/>
      <c r="W1405" s="67"/>
      <c r="X1405" s="67">
        <f>X1402</f>
        <v>50000</v>
      </c>
      <c r="Y1405" s="67">
        <f>Y1402</f>
        <v>50000</v>
      </c>
      <c r="Z1405" s="507">
        <f t="shared" ref="Z1405:AQ1405" si="1133">Z1402</f>
        <v>50000</v>
      </c>
      <c r="AA1405" s="546">
        <f t="shared" si="1133"/>
        <v>50000</v>
      </c>
      <c r="AB1405" s="67">
        <f t="shared" si="1133"/>
        <v>45000</v>
      </c>
      <c r="AC1405" s="67">
        <f t="shared" si="1133"/>
        <v>45000</v>
      </c>
      <c r="AD1405" s="67">
        <f t="shared" si="1133"/>
        <v>45000</v>
      </c>
      <c r="AE1405" s="67">
        <f t="shared" si="1133"/>
        <v>45000</v>
      </c>
      <c r="AF1405" s="67">
        <f t="shared" si="1133"/>
        <v>45000</v>
      </c>
      <c r="AG1405" s="67">
        <f t="shared" si="1133"/>
        <v>45000</v>
      </c>
      <c r="AH1405" s="67">
        <f t="shared" si="1133"/>
        <v>45000</v>
      </c>
      <c r="AI1405" s="67">
        <f t="shared" si="1133"/>
        <v>45000</v>
      </c>
      <c r="AJ1405" s="67">
        <f t="shared" si="1133"/>
        <v>45000</v>
      </c>
      <c r="AK1405" s="67">
        <f t="shared" si="1133"/>
        <v>45000</v>
      </c>
      <c r="AL1405" s="67">
        <f t="shared" si="1133"/>
        <v>45000</v>
      </c>
      <c r="AM1405" s="67">
        <f t="shared" si="1133"/>
        <v>45000</v>
      </c>
      <c r="AN1405" s="67">
        <f t="shared" si="1133"/>
        <v>45000</v>
      </c>
      <c r="AO1405" s="67">
        <f t="shared" si="1133"/>
        <v>45000</v>
      </c>
      <c r="AP1405" s="67">
        <f t="shared" si="1133"/>
        <v>45000</v>
      </c>
      <c r="AQ1405" s="67">
        <f t="shared" si="1133"/>
        <v>45000</v>
      </c>
      <c r="AR1405" s="3" t="s">
        <v>11</v>
      </c>
      <c r="AS1405" s="3"/>
      <c r="AT1405" s="3"/>
    </row>
    <row r="1406" spans="1:46" s="8" customFormat="1" x14ac:dyDescent="0.25">
      <c r="A1406" s="121"/>
      <c r="B1406" s="121"/>
      <c r="C1406" s="306"/>
      <c r="D1406" s="14"/>
      <c r="E1406" s="14"/>
      <c r="F1406" s="14"/>
      <c r="G1406" s="14"/>
      <c r="H1406" s="13">
        <v>60774719</v>
      </c>
      <c r="I1406" s="14">
        <v>595100</v>
      </c>
      <c r="J1406" s="18" t="s">
        <v>2</v>
      </c>
      <c r="K1406" s="30">
        <f>K1403</f>
        <v>403866.67</v>
      </c>
      <c r="L1406" s="16"/>
      <c r="M1406" s="16"/>
      <c r="N1406" s="16"/>
      <c r="O1406" s="16"/>
      <c r="P1406" s="16"/>
      <c r="Q1406" s="16"/>
      <c r="R1406" s="16"/>
      <c r="S1406" s="16"/>
      <c r="T1406" s="16">
        <f t="shared" si="1132"/>
        <v>0</v>
      </c>
      <c r="U1406" s="7">
        <f>U1403</f>
        <v>0</v>
      </c>
      <c r="V1406" s="7"/>
      <c r="W1406" s="7"/>
      <c r="X1406" s="7">
        <f>X1403</f>
        <v>40116.67</v>
      </c>
      <c r="Y1406" s="7">
        <f>Y1403</f>
        <v>39000</v>
      </c>
      <c r="Z1406" s="501">
        <f t="shared" ref="Z1406:AQ1406" si="1134">Z1403</f>
        <v>36500</v>
      </c>
      <c r="AA1406" s="540">
        <f t="shared" si="1134"/>
        <v>34000</v>
      </c>
      <c r="AB1406" s="7">
        <f t="shared" si="1134"/>
        <v>31500</v>
      </c>
      <c r="AC1406" s="7">
        <f t="shared" si="1134"/>
        <v>29250</v>
      </c>
      <c r="AD1406" s="7">
        <f t="shared" si="1134"/>
        <v>27000</v>
      </c>
      <c r="AE1406" s="7">
        <f t="shared" si="1134"/>
        <v>24750</v>
      </c>
      <c r="AF1406" s="7">
        <f t="shared" si="1134"/>
        <v>22500</v>
      </c>
      <c r="AG1406" s="7">
        <f t="shared" si="1134"/>
        <v>20250</v>
      </c>
      <c r="AH1406" s="7">
        <f t="shared" si="1134"/>
        <v>18000</v>
      </c>
      <c r="AI1406" s="7">
        <f t="shared" si="1134"/>
        <v>16200</v>
      </c>
      <c r="AJ1406" s="7">
        <f t="shared" si="1134"/>
        <v>14400</v>
      </c>
      <c r="AK1406" s="7">
        <f t="shared" si="1134"/>
        <v>12600</v>
      </c>
      <c r="AL1406" s="7">
        <f t="shared" si="1134"/>
        <v>10800</v>
      </c>
      <c r="AM1406" s="7">
        <f t="shared" si="1134"/>
        <v>9000</v>
      </c>
      <c r="AN1406" s="7">
        <f t="shared" si="1134"/>
        <v>7200</v>
      </c>
      <c r="AO1406" s="7">
        <f t="shared" si="1134"/>
        <v>5400</v>
      </c>
      <c r="AP1406" s="7">
        <f t="shared" si="1134"/>
        <v>3600</v>
      </c>
      <c r="AQ1406" s="7">
        <f t="shared" si="1134"/>
        <v>1800</v>
      </c>
      <c r="AR1406" s="20" t="s">
        <v>11</v>
      </c>
      <c r="AS1406" s="20"/>
      <c r="AT1406" s="20"/>
    </row>
    <row r="1407" spans="1:46" s="8" customFormat="1" ht="13.8" thickBot="1" x14ac:dyDescent="0.3">
      <c r="A1407" s="122"/>
      <c r="B1407" s="122"/>
      <c r="C1407" s="307"/>
      <c r="D1407" s="87"/>
      <c r="E1407" s="87"/>
      <c r="F1407" s="87"/>
      <c r="G1407" s="149" t="s">
        <v>1273</v>
      </c>
      <c r="H1407" s="87"/>
      <c r="I1407" s="87"/>
      <c r="J1407" s="50" t="s">
        <v>5</v>
      </c>
      <c r="K1407" s="51">
        <f>K1406+K1405</f>
        <v>1323866.67</v>
      </c>
      <c r="L1407" s="46"/>
      <c r="M1407" s="46"/>
      <c r="N1407" s="46"/>
      <c r="O1407" s="46"/>
      <c r="P1407" s="46"/>
      <c r="Q1407" s="46"/>
      <c r="R1407" s="46"/>
      <c r="S1407" s="46"/>
      <c r="T1407" s="46">
        <f t="shared" ref="T1407:X1407" si="1135">T1406+T1405</f>
        <v>0</v>
      </c>
      <c r="U1407" s="46">
        <f t="shared" si="1135"/>
        <v>0</v>
      </c>
      <c r="V1407" s="46"/>
      <c r="W1407" s="46"/>
      <c r="X1407" s="46">
        <f t="shared" si="1135"/>
        <v>90116.67</v>
      </c>
      <c r="Y1407" s="46">
        <f t="shared" ref="Y1407:AP1407" si="1136">Y1406+Y1405</f>
        <v>89000</v>
      </c>
      <c r="Z1407" s="503">
        <f t="shared" si="1136"/>
        <v>86500</v>
      </c>
      <c r="AA1407" s="542">
        <f t="shared" si="1136"/>
        <v>84000</v>
      </c>
      <c r="AB1407" s="46">
        <f t="shared" si="1136"/>
        <v>76500</v>
      </c>
      <c r="AC1407" s="46">
        <f t="shared" si="1136"/>
        <v>74250</v>
      </c>
      <c r="AD1407" s="46">
        <f t="shared" si="1136"/>
        <v>72000</v>
      </c>
      <c r="AE1407" s="46">
        <f t="shared" si="1136"/>
        <v>69750</v>
      </c>
      <c r="AF1407" s="46">
        <f t="shared" si="1136"/>
        <v>67500</v>
      </c>
      <c r="AG1407" s="46">
        <f t="shared" si="1136"/>
        <v>65250</v>
      </c>
      <c r="AH1407" s="46">
        <f t="shared" si="1136"/>
        <v>63000</v>
      </c>
      <c r="AI1407" s="46">
        <f t="shared" si="1136"/>
        <v>61200</v>
      </c>
      <c r="AJ1407" s="46">
        <f t="shared" si="1136"/>
        <v>59400</v>
      </c>
      <c r="AK1407" s="46">
        <f t="shared" si="1136"/>
        <v>57600</v>
      </c>
      <c r="AL1407" s="46">
        <f t="shared" si="1136"/>
        <v>55800</v>
      </c>
      <c r="AM1407" s="46">
        <f t="shared" si="1136"/>
        <v>54000</v>
      </c>
      <c r="AN1407" s="46">
        <f t="shared" si="1136"/>
        <v>52200</v>
      </c>
      <c r="AO1407" s="46">
        <f t="shared" si="1136"/>
        <v>50400</v>
      </c>
      <c r="AP1407" s="46">
        <f t="shared" si="1136"/>
        <v>48600</v>
      </c>
      <c r="AQ1407" s="46">
        <f t="shared" ref="AQ1407" si="1137">AQ1406+AQ1405</f>
        <v>46800</v>
      </c>
      <c r="AR1407" s="47" t="s">
        <v>11</v>
      </c>
      <c r="AS1407" s="47"/>
      <c r="AT1407" s="47"/>
    </row>
    <row r="1408" spans="1:46" s="446" customFormat="1" x14ac:dyDescent="0.25">
      <c r="A1408" s="26" t="s">
        <v>4</v>
      </c>
      <c r="B1408" s="26" t="s">
        <v>97</v>
      </c>
      <c r="C1408" s="444"/>
      <c r="D1408" s="55" t="s">
        <v>4</v>
      </c>
      <c r="E1408" s="465">
        <v>45043</v>
      </c>
      <c r="F1408" s="25" t="s">
        <v>347</v>
      </c>
      <c r="G1408" s="316" t="s">
        <v>1271</v>
      </c>
      <c r="H1408" s="427">
        <v>61312271</v>
      </c>
      <c r="I1408" s="427">
        <v>585022</v>
      </c>
      <c r="J1408" s="2" t="s">
        <v>1</v>
      </c>
      <c r="K1408" s="27">
        <v>200000</v>
      </c>
      <c r="L1408" s="4"/>
      <c r="M1408" s="4"/>
      <c r="N1408" s="4"/>
      <c r="O1408" s="4"/>
      <c r="P1408" s="4"/>
      <c r="Q1408" s="4"/>
      <c r="R1408" s="426"/>
      <c r="S1408" s="426"/>
      <c r="T1408" s="426"/>
      <c r="U1408" s="445"/>
      <c r="V1408" s="419"/>
      <c r="W1408" s="445"/>
      <c r="X1408" s="445">
        <v>40000</v>
      </c>
      <c r="Y1408" s="445">
        <v>40000</v>
      </c>
      <c r="Z1408" s="513">
        <v>40000</v>
      </c>
      <c r="AA1408" s="556">
        <v>40000</v>
      </c>
      <c r="AB1408" s="445">
        <v>40000</v>
      </c>
      <c r="AC1408" s="2" t="s">
        <v>11</v>
      </c>
      <c r="AD1408" s="445"/>
      <c r="AE1408" s="445"/>
      <c r="AF1408" s="445"/>
      <c r="AG1408" s="445"/>
      <c r="AH1408" s="445"/>
      <c r="AI1408" s="445"/>
      <c r="AJ1408" s="445"/>
      <c r="AK1408" s="445"/>
      <c r="AL1408" s="445"/>
      <c r="AM1408" s="445"/>
      <c r="AN1408" s="445"/>
      <c r="AO1408" s="445"/>
      <c r="AP1408" s="445"/>
      <c r="AQ1408" s="2"/>
      <c r="AR1408" s="424"/>
      <c r="AS1408" s="2"/>
      <c r="AT1408" s="2"/>
    </row>
    <row r="1409" spans="1:46" s="446" customFormat="1" x14ac:dyDescent="0.25">
      <c r="A1409" s="400" t="s">
        <v>1289</v>
      </c>
      <c r="B1409" s="26"/>
      <c r="C1409" s="444"/>
      <c r="D1409" s="55"/>
      <c r="E1409" s="317" t="s">
        <v>13</v>
      </c>
      <c r="F1409" s="25"/>
      <c r="G1409" s="402" t="s">
        <v>1272</v>
      </c>
      <c r="H1409" s="402" t="s">
        <v>1106</v>
      </c>
      <c r="I1409" s="12"/>
      <c r="J1409" s="17" t="s">
        <v>2</v>
      </c>
      <c r="K1409" s="447">
        <v>29666.67</v>
      </c>
      <c r="L1409" s="11"/>
      <c r="M1409" s="11"/>
      <c r="N1409" s="11"/>
      <c r="O1409" s="11"/>
      <c r="P1409" s="4"/>
      <c r="Q1409" s="4"/>
      <c r="R1409" s="426"/>
      <c r="S1409" s="426"/>
      <c r="T1409" s="426"/>
      <c r="U1409" s="445"/>
      <c r="V1409" s="448"/>
      <c r="W1409" s="445"/>
      <c r="X1409" s="445">
        <f>4666.67+5000</f>
        <v>9666.67</v>
      </c>
      <c r="Y1409" s="445">
        <f>4000+4000</f>
        <v>8000</v>
      </c>
      <c r="Z1409" s="513">
        <f>3000+3000</f>
        <v>6000</v>
      </c>
      <c r="AA1409" s="556">
        <f>2000+2000</f>
        <v>4000</v>
      </c>
      <c r="AB1409" s="445">
        <f>1000+1000</f>
        <v>2000</v>
      </c>
      <c r="AC1409" s="17" t="s">
        <v>11</v>
      </c>
      <c r="AD1409" s="445"/>
      <c r="AE1409" s="445"/>
      <c r="AF1409" s="445"/>
      <c r="AG1409" s="445"/>
      <c r="AH1409" s="445"/>
      <c r="AI1409" s="445"/>
      <c r="AJ1409" s="445"/>
      <c r="AK1409" s="445"/>
      <c r="AL1409" s="445"/>
      <c r="AM1409" s="445"/>
      <c r="AN1409" s="445"/>
      <c r="AO1409" s="445"/>
      <c r="AP1409" s="445"/>
      <c r="AQ1409" s="17"/>
      <c r="AR1409" s="418"/>
      <c r="AS1409" s="17"/>
      <c r="AT1409" s="17"/>
    </row>
    <row r="1410" spans="1:46" s="450" customFormat="1" ht="13.8" thickBot="1" x14ac:dyDescent="0.3">
      <c r="A1410" s="120"/>
      <c r="B1410" s="120"/>
      <c r="C1410" s="120"/>
      <c r="D1410" s="91"/>
      <c r="E1410" s="144" t="s">
        <v>16</v>
      </c>
      <c r="F1410" s="398" t="s">
        <v>407</v>
      </c>
      <c r="G1410" s="449" t="s">
        <v>1143</v>
      </c>
      <c r="H1410" s="144"/>
      <c r="I1410" s="124"/>
      <c r="J1410" s="450" t="s">
        <v>5</v>
      </c>
      <c r="K1410" s="451">
        <f>K1409+K1408</f>
        <v>229666.66999999998</v>
      </c>
      <c r="L1410" s="43"/>
      <c r="M1410" s="43"/>
      <c r="N1410" s="43"/>
      <c r="O1410" s="43"/>
      <c r="P1410" s="43">
        <f>P1409+P1408</f>
        <v>0</v>
      </c>
      <c r="Q1410" s="43"/>
      <c r="R1410" s="43">
        <f>R1409+R1408</f>
        <v>0</v>
      </c>
      <c r="S1410" s="43">
        <f>S1409+S1408</f>
        <v>0</v>
      </c>
      <c r="T1410" s="43"/>
      <c r="U1410" s="43">
        <f>U1409+U1408</f>
        <v>0</v>
      </c>
      <c r="V1410" s="412"/>
      <c r="W1410" s="412"/>
      <c r="X1410" s="412">
        <f>X1409+X1408</f>
        <v>49666.67</v>
      </c>
      <c r="Y1410" s="412">
        <f>Y1409+Y1408</f>
        <v>48000</v>
      </c>
      <c r="Z1410" s="510">
        <f>Z1409+Z1408</f>
        <v>46000</v>
      </c>
      <c r="AA1410" s="553">
        <f>AA1409+AA1408</f>
        <v>44000</v>
      </c>
      <c r="AB1410" s="412">
        <f t="shared" ref="AB1410" si="1138">AB1409+AB1408</f>
        <v>42000</v>
      </c>
      <c r="AC1410" s="41" t="s">
        <v>11</v>
      </c>
      <c r="AD1410" s="412"/>
      <c r="AE1410" s="412"/>
      <c r="AF1410" s="412"/>
      <c r="AG1410" s="412"/>
      <c r="AH1410" s="412"/>
      <c r="AI1410" s="412"/>
      <c r="AJ1410" s="412"/>
      <c r="AK1410" s="412"/>
      <c r="AL1410" s="412"/>
      <c r="AM1410" s="412"/>
      <c r="AN1410" s="412"/>
      <c r="AO1410" s="412"/>
      <c r="AP1410" s="412"/>
      <c r="AQ1410" s="41"/>
      <c r="AR1410" s="411"/>
      <c r="AS1410" s="41"/>
      <c r="AT1410" s="41"/>
    </row>
    <row r="1411" spans="1:46" s="446" customFormat="1" x14ac:dyDescent="0.25">
      <c r="A1411" s="26" t="s">
        <v>4</v>
      </c>
      <c r="B1411" s="26" t="s">
        <v>97</v>
      </c>
      <c r="C1411" s="444"/>
      <c r="D1411" s="55" t="s">
        <v>4</v>
      </c>
      <c r="E1411" s="465">
        <v>45043</v>
      </c>
      <c r="F1411" s="25" t="s">
        <v>347</v>
      </c>
      <c r="G1411" s="316" t="s">
        <v>1274</v>
      </c>
      <c r="H1411" s="427">
        <v>61312271</v>
      </c>
      <c r="I1411" s="427">
        <v>585023</v>
      </c>
      <c r="J1411" s="2" t="s">
        <v>1</v>
      </c>
      <c r="K1411" s="27">
        <v>145000</v>
      </c>
      <c r="L1411" s="4"/>
      <c r="M1411" s="4"/>
      <c r="N1411" s="4"/>
      <c r="O1411" s="4"/>
      <c r="P1411" s="4"/>
      <c r="Q1411" s="4"/>
      <c r="R1411" s="426"/>
      <c r="S1411" s="426"/>
      <c r="T1411" s="426"/>
      <c r="U1411" s="445"/>
      <c r="V1411" s="419"/>
      <c r="W1411" s="445"/>
      <c r="X1411" s="445">
        <v>30000</v>
      </c>
      <c r="Y1411" s="445">
        <v>30000</v>
      </c>
      <c r="Z1411" s="513">
        <v>30000</v>
      </c>
      <c r="AA1411" s="556">
        <v>30000</v>
      </c>
      <c r="AB1411" s="445">
        <v>25000</v>
      </c>
      <c r="AC1411" s="2" t="s">
        <v>11</v>
      </c>
      <c r="AD1411" s="445"/>
      <c r="AE1411" s="445"/>
      <c r="AF1411" s="445"/>
      <c r="AG1411" s="445"/>
      <c r="AH1411" s="445"/>
      <c r="AI1411" s="445"/>
      <c r="AJ1411" s="445"/>
      <c r="AK1411" s="445"/>
      <c r="AL1411" s="445"/>
      <c r="AM1411" s="445"/>
      <c r="AN1411" s="445"/>
      <c r="AO1411" s="445"/>
      <c r="AP1411" s="445"/>
      <c r="AQ1411" s="424"/>
      <c r="AR1411" s="424"/>
      <c r="AS1411" s="2"/>
      <c r="AT1411" s="2"/>
    </row>
    <row r="1412" spans="1:46" s="446" customFormat="1" x14ac:dyDescent="0.25">
      <c r="A1412" s="400" t="s">
        <v>1290</v>
      </c>
      <c r="B1412" s="26"/>
      <c r="C1412" s="444"/>
      <c r="D1412" s="55"/>
      <c r="E1412" s="317" t="s">
        <v>13</v>
      </c>
      <c r="F1412" s="25"/>
      <c r="G1412" s="402" t="s">
        <v>1275</v>
      </c>
      <c r="H1412" s="402" t="s">
        <v>1106</v>
      </c>
      <c r="I1412" s="12"/>
      <c r="J1412" s="17" t="s">
        <v>2</v>
      </c>
      <c r="K1412" s="447">
        <v>21008.33</v>
      </c>
      <c r="L1412" s="11"/>
      <c r="M1412" s="11"/>
      <c r="N1412" s="11"/>
      <c r="O1412" s="11"/>
      <c r="P1412" s="4"/>
      <c r="Q1412" s="4"/>
      <c r="R1412" s="426"/>
      <c r="S1412" s="426"/>
      <c r="T1412" s="426"/>
      <c r="U1412" s="445"/>
      <c r="V1412" s="448"/>
      <c r="W1412" s="445"/>
      <c r="X1412" s="445">
        <f>3383.33+3625</f>
        <v>7008.33</v>
      </c>
      <c r="Y1412" s="445">
        <f>2875+2875</f>
        <v>5750</v>
      </c>
      <c r="Z1412" s="513">
        <f>2125+2125</f>
        <v>4250</v>
      </c>
      <c r="AA1412" s="556">
        <f>1375+1375</f>
        <v>2750</v>
      </c>
      <c r="AB1412" s="445">
        <f>625+625</f>
        <v>1250</v>
      </c>
      <c r="AC1412" s="17" t="s">
        <v>11</v>
      </c>
      <c r="AD1412" s="445"/>
      <c r="AE1412" s="445"/>
      <c r="AF1412" s="445"/>
      <c r="AG1412" s="445"/>
      <c r="AH1412" s="445"/>
      <c r="AI1412" s="445"/>
      <c r="AJ1412" s="445"/>
      <c r="AK1412" s="445"/>
      <c r="AL1412" s="445"/>
      <c r="AM1412" s="445"/>
      <c r="AN1412" s="445"/>
      <c r="AO1412" s="445"/>
      <c r="AP1412" s="445"/>
      <c r="AQ1412" s="418"/>
      <c r="AR1412" s="418"/>
      <c r="AS1412" s="17"/>
      <c r="AT1412" s="17"/>
    </row>
    <row r="1413" spans="1:46" s="450" customFormat="1" ht="13.8" thickBot="1" x14ac:dyDescent="0.3">
      <c r="A1413" s="120"/>
      <c r="B1413" s="120"/>
      <c r="C1413" s="120"/>
      <c r="D1413" s="91"/>
      <c r="E1413" s="90" t="s">
        <v>16</v>
      </c>
      <c r="F1413" s="398" t="s">
        <v>407</v>
      </c>
      <c r="G1413" s="449" t="s">
        <v>1186</v>
      </c>
      <c r="H1413" s="144"/>
      <c r="I1413" s="124"/>
      <c r="J1413" s="450" t="s">
        <v>5</v>
      </c>
      <c r="K1413" s="451">
        <f>K1412+K1411</f>
        <v>166008.33000000002</v>
      </c>
      <c r="L1413" s="43"/>
      <c r="M1413" s="43"/>
      <c r="N1413" s="43"/>
      <c r="O1413" s="43"/>
      <c r="P1413" s="43">
        <f>P1412+P1411</f>
        <v>0</v>
      </c>
      <c r="Q1413" s="43"/>
      <c r="R1413" s="43">
        <f>R1412+R1411</f>
        <v>0</v>
      </c>
      <c r="S1413" s="43">
        <f>S1412+S1411</f>
        <v>0</v>
      </c>
      <c r="T1413" s="43"/>
      <c r="U1413" s="43">
        <f>U1412+U1411</f>
        <v>0</v>
      </c>
      <c r="V1413" s="412"/>
      <c r="W1413" s="412"/>
      <c r="X1413" s="412">
        <f t="shared" ref="X1413:AB1413" si="1139">X1412+X1411</f>
        <v>37008.33</v>
      </c>
      <c r="Y1413" s="412">
        <f t="shared" si="1139"/>
        <v>35750</v>
      </c>
      <c r="Z1413" s="510">
        <f t="shared" si="1139"/>
        <v>34250</v>
      </c>
      <c r="AA1413" s="553">
        <f t="shared" si="1139"/>
        <v>32750</v>
      </c>
      <c r="AB1413" s="412">
        <f t="shared" si="1139"/>
        <v>26250</v>
      </c>
      <c r="AC1413" s="41" t="s">
        <v>11</v>
      </c>
      <c r="AD1413" s="412"/>
      <c r="AE1413" s="412"/>
      <c r="AF1413" s="412"/>
      <c r="AG1413" s="412"/>
      <c r="AH1413" s="411"/>
      <c r="AI1413" s="411"/>
      <c r="AJ1413" s="411"/>
      <c r="AK1413" s="411"/>
      <c r="AL1413" s="411"/>
      <c r="AM1413" s="411"/>
      <c r="AN1413" s="411"/>
      <c r="AO1413" s="411"/>
      <c r="AP1413" s="411"/>
      <c r="AQ1413" s="411"/>
      <c r="AR1413" s="411"/>
      <c r="AS1413" s="41"/>
      <c r="AT1413" s="41"/>
    </row>
    <row r="1414" spans="1:46" s="446" customFormat="1" x14ac:dyDescent="0.25">
      <c r="A1414" s="26" t="s">
        <v>4</v>
      </c>
      <c r="B1414" s="26" t="s">
        <v>97</v>
      </c>
      <c r="C1414" s="444"/>
      <c r="D1414" s="55" t="s">
        <v>4</v>
      </c>
      <c r="E1414" s="465">
        <v>45043</v>
      </c>
      <c r="F1414" s="25" t="s">
        <v>347</v>
      </c>
      <c r="G1414" s="316" t="s">
        <v>1276</v>
      </c>
      <c r="H1414" s="427">
        <v>61312271</v>
      </c>
      <c r="I1414" s="427">
        <v>586103</v>
      </c>
      <c r="J1414" s="2" t="s">
        <v>1</v>
      </c>
      <c r="K1414" s="27">
        <v>95000</v>
      </c>
      <c r="L1414" s="4"/>
      <c r="M1414" s="4"/>
      <c r="N1414" s="4"/>
      <c r="O1414" s="4"/>
      <c r="P1414" s="4"/>
      <c r="Q1414" s="4"/>
      <c r="R1414" s="426"/>
      <c r="S1414" s="426"/>
      <c r="T1414" s="426"/>
      <c r="U1414" s="445"/>
      <c r="V1414" s="419"/>
      <c r="W1414" s="445"/>
      <c r="X1414" s="445">
        <v>20000</v>
      </c>
      <c r="Y1414" s="445">
        <v>20000</v>
      </c>
      <c r="Z1414" s="513">
        <v>20000</v>
      </c>
      <c r="AA1414" s="556">
        <v>20000</v>
      </c>
      <c r="AB1414" s="445">
        <v>15000</v>
      </c>
      <c r="AC1414" s="2" t="s">
        <v>11</v>
      </c>
      <c r="AD1414" s="445"/>
      <c r="AE1414" s="445"/>
      <c r="AF1414" s="445"/>
      <c r="AG1414" s="445"/>
      <c r="AH1414" s="445"/>
      <c r="AI1414" s="445"/>
      <c r="AJ1414" s="445"/>
      <c r="AK1414" s="445"/>
      <c r="AL1414" s="445"/>
      <c r="AM1414" s="445"/>
      <c r="AN1414" s="445"/>
      <c r="AO1414" s="445"/>
      <c r="AP1414" s="445"/>
      <c r="AQ1414" s="424"/>
      <c r="AR1414" s="424"/>
      <c r="AS1414" s="2"/>
      <c r="AT1414" s="2"/>
    </row>
    <row r="1415" spans="1:46" s="446" customFormat="1" x14ac:dyDescent="0.25">
      <c r="A1415" s="400" t="s">
        <v>1291</v>
      </c>
      <c r="B1415" s="26"/>
      <c r="C1415" s="444"/>
      <c r="D1415" s="55"/>
      <c r="E1415" s="317" t="s">
        <v>13</v>
      </c>
      <c r="F1415" s="25"/>
      <c r="G1415" s="402" t="s">
        <v>1277</v>
      </c>
      <c r="H1415" s="402" t="s">
        <v>1106</v>
      </c>
      <c r="I1415" s="12"/>
      <c r="J1415" s="17" t="s">
        <v>2</v>
      </c>
      <c r="K1415" s="447">
        <v>13591.67</v>
      </c>
      <c r="L1415" s="11"/>
      <c r="M1415" s="11"/>
      <c r="N1415" s="11"/>
      <c r="O1415" s="11"/>
      <c r="P1415" s="4"/>
      <c r="Q1415" s="4"/>
      <c r="R1415" s="426"/>
      <c r="S1415" s="426"/>
      <c r="T1415" s="426"/>
      <c r="U1415" s="445"/>
      <c r="V1415" s="448"/>
      <c r="W1415" s="445"/>
      <c r="X1415" s="445">
        <f>2216.67+2375</f>
        <v>4591.67</v>
      </c>
      <c r="Y1415" s="445">
        <f>1875+1875</f>
        <v>3750</v>
      </c>
      <c r="Z1415" s="513">
        <f>1375+1375</f>
        <v>2750</v>
      </c>
      <c r="AA1415" s="556">
        <f>875+875</f>
        <v>1750</v>
      </c>
      <c r="AB1415" s="445">
        <f>375+375</f>
        <v>750</v>
      </c>
      <c r="AC1415" s="17" t="s">
        <v>11</v>
      </c>
      <c r="AD1415" s="445"/>
      <c r="AE1415" s="445"/>
      <c r="AF1415" s="445"/>
      <c r="AG1415" s="445"/>
      <c r="AH1415" s="445"/>
      <c r="AI1415" s="445"/>
      <c r="AJ1415" s="445"/>
      <c r="AK1415" s="445"/>
      <c r="AL1415" s="445"/>
      <c r="AM1415" s="445"/>
      <c r="AN1415" s="445"/>
      <c r="AO1415" s="445"/>
      <c r="AP1415" s="445"/>
      <c r="AQ1415" s="418"/>
      <c r="AR1415" s="418"/>
      <c r="AS1415" s="17"/>
      <c r="AT1415" s="17"/>
    </row>
    <row r="1416" spans="1:46" s="450" customFormat="1" ht="13.8" thickBot="1" x14ac:dyDescent="0.3">
      <c r="A1416" s="120"/>
      <c r="B1416" s="120"/>
      <c r="C1416" s="120"/>
      <c r="D1416" s="91"/>
      <c r="E1416" s="144" t="s">
        <v>16</v>
      </c>
      <c r="F1416" s="398" t="s">
        <v>407</v>
      </c>
      <c r="G1416" s="449" t="s">
        <v>934</v>
      </c>
      <c r="H1416" s="144"/>
      <c r="I1416" s="124"/>
      <c r="J1416" s="450" t="s">
        <v>5</v>
      </c>
      <c r="K1416" s="451">
        <f>K1415+K1414</f>
        <v>108591.67</v>
      </c>
      <c r="L1416" s="43"/>
      <c r="M1416" s="43"/>
      <c r="N1416" s="43"/>
      <c r="O1416" s="43"/>
      <c r="P1416" s="43">
        <f>P1415+P1414</f>
        <v>0</v>
      </c>
      <c r="Q1416" s="43"/>
      <c r="R1416" s="43">
        <f>R1415+R1414</f>
        <v>0</v>
      </c>
      <c r="S1416" s="43">
        <f>S1415+S1414</f>
        <v>0</v>
      </c>
      <c r="T1416" s="43"/>
      <c r="U1416" s="43">
        <f>U1415+U1414</f>
        <v>0</v>
      </c>
      <c r="V1416" s="412"/>
      <c r="W1416" s="412"/>
      <c r="X1416" s="412">
        <f>X1415+X1414</f>
        <v>24591.67</v>
      </c>
      <c r="Y1416" s="412">
        <f>Y1415+Y1414</f>
        <v>23750</v>
      </c>
      <c r="Z1416" s="510">
        <f>Z1415+Z1414</f>
        <v>22750</v>
      </c>
      <c r="AA1416" s="553">
        <f>AA1415+AA1414</f>
        <v>21750</v>
      </c>
      <c r="AB1416" s="412">
        <f t="shared" ref="AB1416" si="1140">AB1415+AB1414</f>
        <v>15750</v>
      </c>
      <c r="AC1416" s="41" t="s">
        <v>11</v>
      </c>
      <c r="AD1416" s="412"/>
      <c r="AE1416" s="412"/>
      <c r="AF1416" s="412"/>
      <c r="AG1416" s="412"/>
      <c r="AH1416" s="411"/>
      <c r="AI1416" s="411"/>
      <c r="AJ1416" s="411"/>
      <c r="AK1416" s="411"/>
      <c r="AL1416" s="411"/>
      <c r="AM1416" s="411"/>
      <c r="AN1416" s="411"/>
      <c r="AO1416" s="411"/>
      <c r="AP1416" s="411"/>
      <c r="AQ1416" s="411"/>
      <c r="AR1416" s="411"/>
      <c r="AS1416" s="41"/>
      <c r="AT1416" s="41"/>
    </row>
    <row r="1417" spans="1:46" s="446" customFormat="1" x14ac:dyDescent="0.25">
      <c r="A1417" s="26" t="s">
        <v>4</v>
      </c>
      <c r="B1417" s="26" t="s">
        <v>97</v>
      </c>
      <c r="C1417" s="444"/>
      <c r="D1417" s="55" t="s">
        <v>4</v>
      </c>
      <c r="E1417" s="465">
        <v>45043</v>
      </c>
      <c r="F1417" s="25" t="s">
        <v>347</v>
      </c>
      <c r="G1417" s="316" t="s">
        <v>1278</v>
      </c>
      <c r="H1417" s="427">
        <v>61312271</v>
      </c>
      <c r="I1417" s="427">
        <v>585100</v>
      </c>
      <c r="J1417" s="2" t="s">
        <v>1</v>
      </c>
      <c r="K1417" s="27">
        <v>60000</v>
      </c>
      <c r="L1417" s="4"/>
      <c r="M1417" s="4"/>
      <c r="N1417" s="4"/>
      <c r="O1417" s="4"/>
      <c r="P1417" s="4"/>
      <c r="Q1417" s="4"/>
      <c r="R1417" s="426"/>
      <c r="S1417" s="426"/>
      <c r="T1417" s="426"/>
      <c r="U1417" s="445"/>
      <c r="V1417" s="419"/>
      <c r="W1417" s="445"/>
      <c r="X1417" s="445">
        <v>15000</v>
      </c>
      <c r="Y1417" s="445">
        <v>15000</v>
      </c>
      <c r="Z1417" s="513">
        <v>10000</v>
      </c>
      <c r="AA1417" s="556">
        <v>10000</v>
      </c>
      <c r="AB1417" s="445">
        <v>10000</v>
      </c>
      <c r="AC1417" s="2" t="s">
        <v>11</v>
      </c>
      <c r="AD1417" s="445"/>
      <c r="AE1417" s="445"/>
      <c r="AF1417" s="445"/>
      <c r="AG1417" s="445"/>
      <c r="AH1417" s="445"/>
      <c r="AI1417" s="445"/>
      <c r="AJ1417" s="445"/>
      <c r="AK1417" s="445"/>
      <c r="AL1417" s="445"/>
      <c r="AM1417" s="445"/>
      <c r="AN1417" s="445"/>
      <c r="AO1417" s="445"/>
      <c r="AP1417" s="445"/>
      <c r="AQ1417" s="424"/>
      <c r="AR1417" s="424"/>
      <c r="AS1417" s="2"/>
      <c r="AT1417" s="2"/>
    </row>
    <row r="1418" spans="1:46" s="446" customFormat="1" x14ac:dyDescent="0.25">
      <c r="A1418" s="400" t="s">
        <v>1292</v>
      </c>
      <c r="B1418" s="26"/>
      <c r="C1418" s="444"/>
      <c r="D1418" s="55"/>
      <c r="E1418" s="317" t="s">
        <v>13</v>
      </c>
      <c r="F1418" s="25"/>
      <c r="G1418" s="402" t="s">
        <v>1279</v>
      </c>
      <c r="H1418" s="402" t="s">
        <v>1106</v>
      </c>
      <c r="I1418" s="12"/>
      <c r="J1418" s="17" t="s">
        <v>2</v>
      </c>
      <c r="K1418" s="447">
        <v>8150</v>
      </c>
      <c r="L1418" s="11"/>
      <c r="M1418" s="11"/>
      <c r="N1418" s="11"/>
      <c r="O1418" s="11"/>
      <c r="P1418" s="4"/>
      <c r="Q1418" s="4"/>
      <c r="R1418" s="426"/>
      <c r="S1418" s="426"/>
      <c r="T1418" s="426"/>
      <c r="U1418" s="445"/>
      <c r="V1418" s="448"/>
      <c r="W1418" s="445"/>
      <c r="X1418" s="445">
        <f>1400+1500</f>
        <v>2900</v>
      </c>
      <c r="Y1418" s="445">
        <f>1125+1125</f>
        <v>2250</v>
      </c>
      <c r="Z1418" s="513">
        <f>750+750</f>
        <v>1500</v>
      </c>
      <c r="AA1418" s="556">
        <f>500+500</f>
        <v>1000</v>
      </c>
      <c r="AB1418" s="445">
        <f>250+250</f>
        <v>500</v>
      </c>
      <c r="AC1418" s="17" t="s">
        <v>11</v>
      </c>
      <c r="AD1418" s="445"/>
      <c r="AE1418" s="445"/>
      <c r="AF1418" s="445"/>
      <c r="AG1418" s="445"/>
      <c r="AH1418" s="445"/>
      <c r="AI1418" s="445"/>
      <c r="AJ1418" s="445"/>
      <c r="AK1418" s="445"/>
      <c r="AL1418" s="445"/>
      <c r="AM1418" s="445"/>
      <c r="AN1418" s="445"/>
      <c r="AO1418" s="445"/>
      <c r="AP1418" s="445"/>
      <c r="AQ1418" s="418"/>
      <c r="AR1418" s="418"/>
      <c r="AS1418" s="17"/>
      <c r="AT1418" s="17"/>
    </row>
    <row r="1419" spans="1:46" s="450" customFormat="1" ht="13.8" thickBot="1" x14ac:dyDescent="0.3">
      <c r="A1419" s="120"/>
      <c r="B1419" s="120"/>
      <c r="C1419" s="120"/>
      <c r="D1419" s="91"/>
      <c r="E1419" s="90" t="s">
        <v>16</v>
      </c>
      <c r="F1419" s="398" t="s">
        <v>407</v>
      </c>
      <c r="G1419" s="449"/>
      <c r="H1419" s="144"/>
      <c r="I1419" s="124"/>
      <c r="J1419" s="450" t="s">
        <v>5</v>
      </c>
      <c r="K1419" s="451">
        <f>K1418+K1417</f>
        <v>68150</v>
      </c>
      <c r="L1419" s="43"/>
      <c r="M1419" s="43"/>
      <c r="N1419" s="43"/>
      <c r="O1419" s="43"/>
      <c r="P1419" s="43">
        <f>P1418+P1417</f>
        <v>0</v>
      </c>
      <c r="Q1419" s="43"/>
      <c r="R1419" s="43">
        <f>R1418+R1417</f>
        <v>0</v>
      </c>
      <c r="S1419" s="43">
        <f>S1418+S1417</f>
        <v>0</v>
      </c>
      <c r="T1419" s="43"/>
      <c r="U1419" s="43">
        <f>U1418+U1417</f>
        <v>0</v>
      </c>
      <c r="V1419" s="412"/>
      <c r="W1419" s="412"/>
      <c r="X1419" s="412">
        <f t="shared" ref="X1419:AB1419" si="1141">X1418+X1417</f>
        <v>17900</v>
      </c>
      <c r="Y1419" s="412">
        <f t="shared" si="1141"/>
        <v>17250</v>
      </c>
      <c r="Z1419" s="510">
        <f t="shared" si="1141"/>
        <v>11500</v>
      </c>
      <c r="AA1419" s="553">
        <f t="shared" si="1141"/>
        <v>11000</v>
      </c>
      <c r="AB1419" s="412">
        <f t="shared" si="1141"/>
        <v>10500</v>
      </c>
      <c r="AC1419" s="41" t="s">
        <v>11</v>
      </c>
      <c r="AD1419" s="412"/>
      <c r="AE1419" s="412"/>
      <c r="AF1419" s="412"/>
      <c r="AG1419" s="412"/>
      <c r="AH1419" s="411"/>
      <c r="AI1419" s="411"/>
      <c r="AJ1419" s="411"/>
      <c r="AK1419" s="411"/>
      <c r="AL1419" s="411"/>
      <c r="AM1419" s="411"/>
      <c r="AN1419" s="411"/>
      <c r="AO1419" s="411"/>
      <c r="AP1419" s="411"/>
      <c r="AQ1419" s="411"/>
      <c r="AR1419" s="411"/>
      <c r="AS1419" s="41"/>
      <c r="AT1419" s="41"/>
    </row>
    <row r="1420" spans="1:46" s="446" customFormat="1" x14ac:dyDescent="0.25">
      <c r="A1420" s="26" t="s">
        <v>4</v>
      </c>
      <c r="B1420" s="26" t="s">
        <v>97</v>
      </c>
      <c r="C1420" s="444"/>
      <c r="D1420" s="55" t="s">
        <v>4</v>
      </c>
      <c r="E1420" s="465">
        <v>45043</v>
      </c>
      <c r="F1420" s="25" t="s">
        <v>267</v>
      </c>
      <c r="G1420" s="316" t="s">
        <v>794</v>
      </c>
      <c r="H1420" s="427">
        <v>61312271</v>
      </c>
      <c r="I1420" s="427">
        <v>586100</v>
      </c>
      <c r="J1420" s="2" t="s">
        <v>1</v>
      </c>
      <c r="K1420" s="27">
        <v>915000</v>
      </c>
      <c r="L1420" s="4"/>
      <c r="M1420" s="4"/>
      <c r="N1420" s="4"/>
      <c r="O1420" s="4"/>
      <c r="P1420" s="4"/>
      <c r="Q1420" s="4"/>
      <c r="R1420" s="426"/>
      <c r="S1420" s="426"/>
      <c r="T1420" s="426"/>
      <c r="U1420" s="445"/>
      <c r="V1420" s="419"/>
      <c r="W1420" s="445"/>
      <c r="X1420" s="445">
        <v>50000</v>
      </c>
      <c r="Y1420" s="445">
        <v>50000</v>
      </c>
      <c r="Z1420" s="513">
        <v>50000</v>
      </c>
      <c r="AA1420" s="556">
        <v>45000</v>
      </c>
      <c r="AB1420" s="445">
        <v>45000</v>
      </c>
      <c r="AC1420" s="445">
        <v>45000</v>
      </c>
      <c r="AD1420" s="445">
        <v>45000</v>
      </c>
      <c r="AE1420" s="445">
        <v>45000</v>
      </c>
      <c r="AF1420" s="445">
        <v>45000</v>
      </c>
      <c r="AG1420" s="445">
        <v>45000</v>
      </c>
      <c r="AH1420" s="445">
        <v>45000</v>
      </c>
      <c r="AI1420" s="445">
        <v>45000</v>
      </c>
      <c r="AJ1420" s="445">
        <v>45000</v>
      </c>
      <c r="AK1420" s="445">
        <v>45000</v>
      </c>
      <c r="AL1420" s="445">
        <v>45000</v>
      </c>
      <c r="AM1420" s="445">
        <v>45000</v>
      </c>
      <c r="AN1420" s="445">
        <v>45000</v>
      </c>
      <c r="AO1420" s="445">
        <v>45000</v>
      </c>
      <c r="AP1420" s="445">
        <v>45000</v>
      </c>
      <c r="AQ1420" s="445">
        <v>45000</v>
      </c>
      <c r="AR1420" s="2" t="s">
        <v>11</v>
      </c>
      <c r="AS1420" s="2"/>
      <c r="AT1420" s="2"/>
    </row>
    <row r="1421" spans="1:46" s="446" customFormat="1" x14ac:dyDescent="0.25">
      <c r="A1421" s="400" t="s">
        <v>1293</v>
      </c>
      <c r="B1421" s="26"/>
      <c r="C1421" s="444"/>
      <c r="D1421" s="55"/>
      <c r="E1421" s="317" t="s">
        <v>13</v>
      </c>
      <c r="F1421" s="25"/>
      <c r="G1421" s="402" t="s">
        <v>1280</v>
      </c>
      <c r="H1421" s="402" t="s">
        <v>1108</v>
      </c>
      <c r="I1421" s="12"/>
      <c r="J1421" s="17" t="s">
        <v>2</v>
      </c>
      <c r="K1421" s="447">
        <v>402875</v>
      </c>
      <c r="L1421" s="11"/>
      <c r="M1421" s="11"/>
      <c r="N1421" s="11"/>
      <c r="O1421" s="11"/>
      <c r="P1421" s="4"/>
      <c r="Q1421" s="4"/>
      <c r="R1421" s="426"/>
      <c r="S1421" s="426"/>
      <c r="T1421" s="426"/>
      <c r="U1421" s="445"/>
      <c r="V1421" s="448"/>
      <c r="W1421" s="445"/>
      <c r="X1421" s="445">
        <f>19250+20625</f>
        <v>39875</v>
      </c>
      <c r="Y1421" s="445">
        <f>19375+19375</f>
        <v>38750</v>
      </c>
      <c r="Z1421" s="513">
        <f>18125+18125</f>
        <v>36250</v>
      </c>
      <c r="AA1421" s="556">
        <f>16875+16875</f>
        <v>33750</v>
      </c>
      <c r="AB1421" s="445">
        <f>15750+15750</f>
        <v>31500</v>
      </c>
      <c r="AC1421" s="445">
        <f>14625+14625</f>
        <v>29250</v>
      </c>
      <c r="AD1421" s="445">
        <f>13500+13500</f>
        <v>27000</v>
      </c>
      <c r="AE1421" s="445">
        <f>12375+12375</f>
        <v>24750</v>
      </c>
      <c r="AF1421" s="445">
        <f>11250+11250</f>
        <v>22500</v>
      </c>
      <c r="AG1421" s="445">
        <f>10125+10125</f>
        <v>20250</v>
      </c>
      <c r="AH1421" s="445">
        <f>9000+9000</f>
        <v>18000</v>
      </c>
      <c r="AI1421" s="445">
        <f>8100+8100</f>
        <v>16200</v>
      </c>
      <c r="AJ1421" s="445">
        <f>7200+7200</f>
        <v>14400</v>
      </c>
      <c r="AK1421" s="445">
        <f>6300+6300</f>
        <v>12600</v>
      </c>
      <c r="AL1421" s="445">
        <f>5400+5400</f>
        <v>10800</v>
      </c>
      <c r="AM1421" s="445">
        <f>4500+4500</f>
        <v>9000</v>
      </c>
      <c r="AN1421" s="445">
        <f>3600+3600</f>
        <v>7200</v>
      </c>
      <c r="AO1421" s="445">
        <f>2700+2700</f>
        <v>5400</v>
      </c>
      <c r="AP1421" s="445">
        <f>1800+1800</f>
        <v>3600</v>
      </c>
      <c r="AQ1421" s="468">
        <f>900+900</f>
        <v>1800</v>
      </c>
      <c r="AR1421" s="17" t="s">
        <v>11</v>
      </c>
      <c r="AS1421" s="17"/>
      <c r="AT1421" s="17"/>
    </row>
    <row r="1422" spans="1:46" s="450" customFormat="1" ht="13.8" thickBot="1" x14ac:dyDescent="0.3">
      <c r="A1422" s="120"/>
      <c r="B1422" s="120"/>
      <c r="C1422" s="120"/>
      <c r="D1422" s="91"/>
      <c r="E1422" s="90" t="s">
        <v>16</v>
      </c>
      <c r="F1422" s="398" t="s">
        <v>407</v>
      </c>
      <c r="G1422" s="449" t="s">
        <v>1281</v>
      </c>
      <c r="H1422" s="144"/>
      <c r="I1422" s="124"/>
      <c r="J1422" s="450" t="s">
        <v>5</v>
      </c>
      <c r="K1422" s="451">
        <f>K1421+K1420</f>
        <v>1317875</v>
      </c>
      <c r="L1422" s="43"/>
      <c r="M1422" s="43"/>
      <c r="N1422" s="43"/>
      <c r="O1422" s="43"/>
      <c r="P1422" s="43">
        <f>P1421+P1420</f>
        <v>0</v>
      </c>
      <c r="Q1422" s="43"/>
      <c r="R1422" s="43">
        <f>R1421+R1420</f>
        <v>0</v>
      </c>
      <c r="S1422" s="43">
        <f>S1421+S1420</f>
        <v>0</v>
      </c>
      <c r="T1422" s="43"/>
      <c r="U1422" s="43">
        <f>U1421+U1420</f>
        <v>0</v>
      </c>
      <c r="V1422" s="412"/>
      <c r="W1422" s="412"/>
      <c r="X1422" s="412">
        <f t="shared" ref="X1422:AQ1422" si="1142">X1421+X1420</f>
        <v>89875</v>
      </c>
      <c r="Y1422" s="412">
        <f t="shared" si="1142"/>
        <v>88750</v>
      </c>
      <c r="Z1422" s="510">
        <f t="shared" si="1142"/>
        <v>86250</v>
      </c>
      <c r="AA1422" s="553">
        <f t="shared" si="1142"/>
        <v>78750</v>
      </c>
      <c r="AB1422" s="412">
        <f t="shared" si="1142"/>
        <v>76500</v>
      </c>
      <c r="AC1422" s="412">
        <f t="shared" si="1142"/>
        <v>74250</v>
      </c>
      <c r="AD1422" s="412">
        <f t="shared" si="1142"/>
        <v>72000</v>
      </c>
      <c r="AE1422" s="412">
        <f t="shared" si="1142"/>
        <v>69750</v>
      </c>
      <c r="AF1422" s="412">
        <f t="shared" si="1142"/>
        <v>67500</v>
      </c>
      <c r="AG1422" s="412">
        <f t="shared" si="1142"/>
        <v>65250</v>
      </c>
      <c r="AH1422" s="412">
        <f t="shared" si="1142"/>
        <v>63000</v>
      </c>
      <c r="AI1422" s="412">
        <f t="shared" si="1142"/>
        <v>61200</v>
      </c>
      <c r="AJ1422" s="412">
        <f t="shared" si="1142"/>
        <v>59400</v>
      </c>
      <c r="AK1422" s="412">
        <f t="shared" si="1142"/>
        <v>57600</v>
      </c>
      <c r="AL1422" s="412">
        <f t="shared" si="1142"/>
        <v>55800</v>
      </c>
      <c r="AM1422" s="412">
        <f t="shared" si="1142"/>
        <v>54000</v>
      </c>
      <c r="AN1422" s="412">
        <f t="shared" si="1142"/>
        <v>52200</v>
      </c>
      <c r="AO1422" s="412">
        <f t="shared" si="1142"/>
        <v>50400</v>
      </c>
      <c r="AP1422" s="412">
        <f t="shared" si="1142"/>
        <v>48600</v>
      </c>
      <c r="AQ1422" s="412">
        <f t="shared" si="1142"/>
        <v>46800</v>
      </c>
      <c r="AR1422" s="41" t="s">
        <v>11</v>
      </c>
      <c r="AS1422" s="41"/>
      <c r="AT1422" s="41"/>
    </row>
    <row r="1423" spans="1:46" s="8" customFormat="1" x14ac:dyDescent="0.25">
      <c r="A1423" s="121"/>
      <c r="B1423" s="26"/>
      <c r="C1423" s="306"/>
      <c r="D1423" s="55"/>
      <c r="E1423" s="55"/>
      <c r="F1423" s="55"/>
      <c r="G1423" s="9" t="s">
        <v>7</v>
      </c>
      <c r="H1423" s="9">
        <v>61774719</v>
      </c>
      <c r="I1423" s="9">
        <v>591100</v>
      </c>
      <c r="J1423" s="10" t="s">
        <v>1</v>
      </c>
      <c r="K1423" s="31">
        <f>K1408+K1411+K1414+K1417+K1420</f>
        <v>1415000</v>
      </c>
      <c r="L1423" s="7"/>
      <c r="M1423" s="7"/>
      <c r="N1423" s="7"/>
      <c r="O1423" s="7"/>
      <c r="P1423" s="7"/>
      <c r="Q1423" s="7"/>
      <c r="R1423" s="7"/>
      <c r="S1423" s="7"/>
      <c r="T1423" s="7" t="e">
        <f>#REF!</f>
        <v>#REF!</v>
      </c>
      <c r="U1423" s="7"/>
      <c r="V1423" s="7"/>
      <c r="W1423" s="7"/>
      <c r="X1423" s="7">
        <f>X1408+X1411+X1420+X1417+X1414</f>
        <v>155000</v>
      </c>
      <c r="Y1423" s="7">
        <f>Y1408+Y1411+Y1420+Y1417+Y1414</f>
        <v>155000</v>
      </c>
      <c r="Z1423" s="501">
        <f t="shared" ref="Z1423:AB1423" si="1143">Z1408+Z1411+Z1420+Z1417+Z1414</f>
        <v>150000</v>
      </c>
      <c r="AA1423" s="540">
        <f t="shared" si="1143"/>
        <v>145000</v>
      </c>
      <c r="AB1423" s="7">
        <f t="shared" si="1143"/>
        <v>135000</v>
      </c>
      <c r="AC1423" s="7">
        <f>AC1420</f>
        <v>45000</v>
      </c>
      <c r="AD1423" s="7">
        <f t="shared" ref="AD1423:AP1423" si="1144">AD1420</f>
        <v>45000</v>
      </c>
      <c r="AE1423" s="7">
        <f t="shared" si="1144"/>
        <v>45000</v>
      </c>
      <c r="AF1423" s="7">
        <f t="shared" si="1144"/>
        <v>45000</v>
      </c>
      <c r="AG1423" s="7">
        <f t="shared" si="1144"/>
        <v>45000</v>
      </c>
      <c r="AH1423" s="7">
        <f t="shared" si="1144"/>
        <v>45000</v>
      </c>
      <c r="AI1423" s="7">
        <f t="shared" si="1144"/>
        <v>45000</v>
      </c>
      <c r="AJ1423" s="7">
        <f t="shared" si="1144"/>
        <v>45000</v>
      </c>
      <c r="AK1423" s="7">
        <f t="shared" si="1144"/>
        <v>45000</v>
      </c>
      <c r="AL1423" s="7">
        <f t="shared" si="1144"/>
        <v>45000</v>
      </c>
      <c r="AM1423" s="7">
        <f t="shared" si="1144"/>
        <v>45000</v>
      </c>
      <c r="AN1423" s="7">
        <f t="shared" si="1144"/>
        <v>45000</v>
      </c>
      <c r="AO1423" s="7">
        <f t="shared" si="1144"/>
        <v>45000</v>
      </c>
      <c r="AP1423" s="7">
        <f t="shared" si="1144"/>
        <v>45000</v>
      </c>
      <c r="AQ1423" s="7">
        <f t="shared" ref="AQ1423" si="1145">AQ1420</f>
        <v>45000</v>
      </c>
      <c r="AR1423" s="3" t="s">
        <v>11</v>
      </c>
      <c r="AS1423" s="3"/>
      <c r="AT1423" s="3"/>
    </row>
    <row r="1424" spans="1:46" s="8" customFormat="1" x14ac:dyDescent="0.25">
      <c r="A1424" s="121"/>
      <c r="B1424" s="121"/>
      <c r="C1424" s="306"/>
      <c r="D1424" s="10"/>
      <c r="E1424" s="10"/>
      <c r="F1424" s="10"/>
      <c r="G1424" s="10"/>
      <c r="H1424" s="9">
        <v>61774719</v>
      </c>
      <c r="I1424" s="10">
        <v>595100</v>
      </c>
      <c r="J1424" s="19" t="s">
        <v>2</v>
      </c>
      <c r="K1424" s="31">
        <f>K1409+K1412+K1415+K1418+K1421</f>
        <v>475291.67</v>
      </c>
      <c r="L1424" s="16"/>
      <c r="M1424" s="16"/>
      <c r="N1424" s="16"/>
      <c r="O1424" s="16"/>
      <c r="P1424" s="16"/>
      <c r="Q1424" s="16"/>
      <c r="R1424" s="16"/>
      <c r="S1424" s="16"/>
      <c r="T1424" s="16" t="e">
        <f>#REF!</f>
        <v>#REF!</v>
      </c>
      <c r="U1424" s="16"/>
      <c r="V1424" s="16"/>
      <c r="W1424" s="16"/>
      <c r="X1424" s="16">
        <f>X1409+X1412+X1421+X1418+X1415</f>
        <v>64041.67</v>
      </c>
      <c r="Y1424" s="16">
        <f>Y1409+Y1412+Y1421+Y1418+Y1415</f>
        <v>58500</v>
      </c>
      <c r="Z1424" s="502">
        <f t="shared" ref="Z1424:AB1424" si="1146">Z1409+Z1412+Z1421+Z1418+Z1415</f>
        <v>50750</v>
      </c>
      <c r="AA1424" s="541">
        <f t="shared" si="1146"/>
        <v>43250</v>
      </c>
      <c r="AB1424" s="16">
        <f t="shared" si="1146"/>
        <v>36000</v>
      </c>
      <c r="AC1424" s="16">
        <f>AC1421</f>
        <v>29250</v>
      </c>
      <c r="AD1424" s="16">
        <f t="shared" ref="AD1424:AP1424" si="1147">AD1421</f>
        <v>27000</v>
      </c>
      <c r="AE1424" s="16">
        <f t="shared" si="1147"/>
        <v>24750</v>
      </c>
      <c r="AF1424" s="16">
        <f t="shared" si="1147"/>
        <v>22500</v>
      </c>
      <c r="AG1424" s="16">
        <f t="shared" si="1147"/>
        <v>20250</v>
      </c>
      <c r="AH1424" s="16">
        <f t="shared" si="1147"/>
        <v>18000</v>
      </c>
      <c r="AI1424" s="16">
        <f t="shared" si="1147"/>
        <v>16200</v>
      </c>
      <c r="AJ1424" s="16">
        <f t="shared" si="1147"/>
        <v>14400</v>
      </c>
      <c r="AK1424" s="16">
        <f t="shared" si="1147"/>
        <v>12600</v>
      </c>
      <c r="AL1424" s="16">
        <f t="shared" si="1147"/>
        <v>10800</v>
      </c>
      <c r="AM1424" s="16">
        <f t="shared" si="1147"/>
        <v>9000</v>
      </c>
      <c r="AN1424" s="16">
        <f t="shared" si="1147"/>
        <v>7200</v>
      </c>
      <c r="AO1424" s="16">
        <f t="shared" si="1147"/>
        <v>5400</v>
      </c>
      <c r="AP1424" s="16">
        <f t="shared" si="1147"/>
        <v>3600</v>
      </c>
      <c r="AQ1424" s="16">
        <f t="shared" ref="AQ1424" si="1148">AQ1421</f>
        <v>1800</v>
      </c>
      <c r="AR1424" s="20" t="s">
        <v>11</v>
      </c>
      <c r="AS1424" s="20"/>
      <c r="AT1424" s="20"/>
    </row>
    <row r="1425" spans="1:46" s="8" customFormat="1" ht="13.8" thickBot="1" x14ac:dyDescent="0.3">
      <c r="A1425" s="122"/>
      <c r="B1425" s="122"/>
      <c r="C1425" s="307"/>
      <c r="D1425" s="91"/>
      <c r="E1425" s="91"/>
      <c r="F1425" s="91"/>
      <c r="G1425" s="355" t="s">
        <v>1282</v>
      </c>
      <c r="H1425" s="91"/>
      <c r="I1425" s="91"/>
      <c r="J1425" s="52" t="s">
        <v>5</v>
      </c>
      <c r="K1425" s="53">
        <f>K1424+K1423</f>
        <v>1890291.67</v>
      </c>
      <c r="L1425" s="46"/>
      <c r="M1425" s="46"/>
      <c r="N1425" s="46"/>
      <c r="O1425" s="46"/>
      <c r="P1425" s="46"/>
      <c r="Q1425" s="46"/>
      <c r="R1425" s="46"/>
      <c r="S1425" s="46"/>
      <c r="T1425" s="46" t="e">
        <f t="shared" ref="T1425" si="1149">T1424+T1423</f>
        <v>#REF!</v>
      </c>
      <c r="U1425" s="46"/>
      <c r="V1425" s="46"/>
      <c r="W1425" s="46"/>
      <c r="X1425" s="46">
        <f t="shared" ref="X1425" si="1150">X1424+X1423</f>
        <v>219041.66999999998</v>
      </c>
      <c r="Y1425" s="46">
        <f t="shared" ref="Y1425:AB1425" si="1151">Y1424+Y1423</f>
        <v>213500</v>
      </c>
      <c r="Z1425" s="503">
        <f t="shared" si="1151"/>
        <v>200750</v>
      </c>
      <c r="AA1425" s="542">
        <f t="shared" si="1151"/>
        <v>188250</v>
      </c>
      <c r="AB1425" s="46">
        <f t="shared" si="1151"/>
        <v>171000</v>
      </c>
      <c r="AC1425" s="46">
        <f t="shared" ref="AC1425:AG1425" si="1152">AC1424+AC1423</f>
        <v>74250</v>
      </c>
      <c r="AD1425" s="46">
        <f t="shared" si="1152"/>
        <v>72000</v>
      </c>
      <c r="AE1425" s="46">
        <f t="shared" si="1152"/>
        <v>69750</v>
      </c>
      <c r="AF1425" s="46">
        <f t="shared" si="1152"/>
        <v>67500</v>
      </c>
      <c r="AG1425" s="46">
        <f t="shared" si="1152"/>
        <v>65250</v>
      </c>
      <c r="AH1425" s="46">
        <f t="shared" ref="AH1425:AM1425" si="1153">AH1424+AH1423</f>
        <v>63000</v>
      </c>
      <c r="AI1425" s="46">
        <f t="shared" si="1153"/>
        <v>61200</v>
      </c>
      <c r="AJ1425" s="46">
        <f t="shared" si="1153"/>
        <v>59400</v>
      </c>
      <c r="AK1425" s="46">
        <f t="shared" si="1153"/>
        <v>57600</v>
      </c>
      <c r="AL1425" s="46">
        <f t="shared" si="1153"/>
        <v>55800</v>
      </c>
      <c r="AM1425" s="46">
        <f t="shared" si="1153"/>
        <v>54000</v>
      </c>
      <c r="AN1425" s="46">
        <f t="shared" ref="AN1425:AP1425" si="1154">AN1424+AN1423</f>
        <v>52200</v>
      </c>
      <c r="AO1425" s="46">
        <f t="shared" si="1154"/>
        <v>50400</v>
      </c>
      <c r="AP1425" s="46">
        <f t="shared" si="1154"/>
        <v>48600</v>
      </c>
      <c r="AQ1425" s="46">
        <f t="shared" ref="AQ1425" si="1155">AQ1424+AQ1423</f>
        <v>46800</v>
      </c>
      <c r="AR1425" s="47" t="s">
        <v>11</v>
      </c>
      <c r="AS1425" s="47"/>
      <c r="AT1425" s="47"/>
    </row>
    <row r="1426" spans="1:46" s="3" customFormat="1" x14ac:dyDescent="0.25">
      <c r="A1426" s="121"/>
      <c r="B1426" s="121"/>
      <c r="C1426" s="306"/>
      <c r="D1426" s="102"/>
      <c r="E1426" s="285"/>
      <c r="F1426" s="102"/>
      <c r="G1426" s="103" t="s">
        <v>1258</v>
      </c>
      <c r="H1426" s="103"/>
      <c r="I1426" s="103"/>
      <c r="J1426" s="104" t="s">
        <v>1</v>
      </c>
      <c r="K1426" s="105">
        <f>K1399+K1405+K1423</f>
        <v>7160000</v>
      </c>
      <c r="L1426" s="7"/>
      <c r="M1426" s="7"/>
      <c r="N1426" s="67"/>
      <c r="O1426" s="67"/>
      <c r="P1426" s="67"/>
      <c r="Q1426" s="67"/>
      <c r="R1426" s="67"/>
      <c r="S1426" s="67"/>
      <c r="T1426" s="67" t="e">
        <f>T1402+#REF!+T1417</f>
        <v>#REF!</v>
      </c>
      <c r="U1426" s="67"/>
      <c r="V1426" s="67"/>
      <c r="W1426" s="67"/>
      <c r="X1426" s="67">
        <f t="shared" ref="X1426:AP1426" si="1156">X1399+X1405+X1423</f>
        <v>560000</v>
      </c>
      <c r="Y1426" s="67">
        <f t="shared" si="1156"/>
        <v>560000</v>
      </c>
      <c r="Z1426" s="507">
        <f t="shared" si="1156"/>
        <v>550000</v>
      </c>
      <c r="AA1426" s="546">
        <f t="shared" si="1156"/>
        <v>545000</v>
      </c>
      <c r="AB1426" s="67">
        <f t="shared" si="1156"/>
        <v>525000</v>
      </c>
      <c r="AC1426" s="67">
        <f t="shared" si="1156"/>
        <v>345000</v>
      </c>
      <c r="AD1426" s="67">
        <f t="shared" si="1156"/>
        <v>345000</v>
      </c>
      <c r="AE1426" s="67">
        <f t="shared" si="1156"/>
        <v>345000</v>
      </c>
      <c r="AF1426" s="67">
        <f t="shared" si="1156"/>
        <v>345000</v>
      </c>
      <c r="AG1426" s="67">
        <f t="shared" si="1156"/>
        <v>345000</v>
      </c>
      <c r="AH1426" s="67">
        <f t="shared" si="1156"/>
        <v>345000</v>
      </c>
      <c r="AI1426" s="67">
        <f t="shared" si="1156"/>
        <v>345000</v>
      </c>
      <c r="AJ1426" s="67">
        <f t="shared" si="1156"/>
        <v>345000</v>
      </c>
      <c r="AK1426" s="67">
        <f t="shared" si="1156"/>
        <v>345000</v>
      </c>
      <c r="AL1426" s="67">
        <f t="shared" si="1156"/>
        <v>340000</v>
      </c>
      <c r="AM1426" s="67">
        <f t="shared" si="1156"/>
        <v>195000</v>
      </c>
      <c r="AN1426" s="67">
        <f t="shared" si="1156"/>
        <v>195000</v>
      </c>
      <c r="AO1426" s="67">
        <f t="shared" si="1156"/>
        <v>195000</v>
      </c>
      <c r="AP1426" s="67">
        <f t="shared" si="1156"/>
        <v>195000</v>
      </c>
      <c r="AQ1426" s="67">
        <f t="shared" ref="AQ1426" si="1157">AQ1399+AQ1405+AQ1423</f>
        <v>195000</v>
      </c>
      <c r="AR1426" s="3" t="s">
        <v>11</v>
      </c>
    </row>
    <row r="1427" spans="1:46" s="3" customFormat="1" ht="13.8" thickBot="1" x14ac:dyDescent="0.3">
      <c r="A1427" s="121"/>
      <c r="B1427" s="121"/>
      <c r="C1427" s="306"/>
      <c r="D1427" s="104"/>
      <c r="E1427" s="285" t="s">
        <v>1284</v>
      </c>
      <c r="F1427" s="104"/>
      <c r="G1427" s="399" t="s">
        <v>1257</v>
      </c>
      <c r="H1427" s="103"/>
      <c r="I1427" s="103"/>
      <c r="J1427" s="106" t="s">
        <v>2</v>
      </c>
      <c r="K1427" s="107">
        <f>K1400+K1406+K1424</f>
        <v>2681715.0099999998</v>
      </c>
      <c r="L1427" s="22"/>
      <c r="M1427" s="22"/>
      <c r="N1427" s="22"/>
      <c r="O1427" s="22"/>
      <c r="P1427" s="22"/>
      <c r="Q1427" s="22"/>
      <c r="R1427" s="22"/>
      <c r="S1427" s="22"/>
      <c r="T1427" s="22" t="e">
        <f>T1403+#REF!+T1418</f>
        <v>#REF!</v>
      </c>
      <c r="U1427" s="22"/>
      <c r="V1427" s="22"/>
      <c r="W1427" s="22"/>
      <c r="X1427" s="22">
        <f t="shared" ref="X1427:AP1427" si="1158">X1400+X1406+X1424</f>
        <v>320015.00999999995</v>
      </c>
      <c r="Y1427" s="22">
        <f t="shared" si="1158"/>
        <v>303050</v>
      </c>
      <c r="Z1427" s="506">
        <f t="shared" si="1158"/>
        <v>275050</v>
      </c>
      <c r="AA1427" s="545">
        <f t="shared" si="1158"/>
        <v>247550</v>
      </c>
      <c r="AB1427" s="22">
        <f t="shared" si="1158"/>
        <v>220300</v>
      </c>
      <c r="AC1427" s="22">
        <f t="shared" si="1158"/>
        <v>194050</v>
      </c>
      <c r="AD1427" s="22">
        <f t="shared" si="1158"/>
        <v>176800</v>
      </c>
      <c r="AE1427" s="22">
        <f t="shared" si="1158"/>
        <v>159550</v>
      </c>
      <c r="AF1427" s="22">
        <f t="shared" si="1158"/>
        <v>142300</v>
      </c>
      <c r="AG1427" s="22">
        <f t="shared" si="1158"/>
        <v>125050</v>
      </c>
      <c r="AH1427" s="22">
        <f t="shared" si="1158"/>
        <v>107800</v>
      </c>
      <c r="AI1427" s="22">
        <f t="shared" si="1158"/>
        <v>94000</v>
      </c>
      <c r="AJ1427" s="22">
        <f t="shared" si="1158"/>
        <v>80200</v>
      </c>
      <c r="AK1427" s="22">
        <f t="shared" si="1158"/>
        <v>66400</v>
      </c>
      <c r="AL1427" s="22">
        <f t="shared" si="1158"/>
        <v>52600</v>
      </c>
      <c r="AM1427" s="22">
        <f t="shared" si="1158"/>
        <v>39000</v>
      </c>
      <c r="AN1427" s="22">
        <f t="shared" si="1158"/>
        <v>31200</v>
      </c>
      <c r="AO1427" s="22">
        <f t="shared" si="1158"/>
        <v>23400</v>
      </c>
      <c r="AP1427" s="22">
        <f t="shared" si="1158"/>
        <v>15600</v>
      </c>
      <c r="AQ1427" s="22">
        <f t="shared" ref="AQ1427" si="1159">AQ1400+AQ1406+AQ1424</f>
        <v>7800</v>
      </c>
      <c r="AR1427" s="23" t="s">
        <v>11</v>
      </c>
      <c r="AS1427" s="23"/>
      <c r="AT1427" s="23"/>
    </row>
    <row r="1428" spans="1:46" s="6" customFormat="1" x14ac:dyDescent="0.25">
      <c r="A1428" s="26"/>
      <c r="B1428" s="26"/>
      <c r="C1428" s="306"/>
      <c r="D1428" s="108"/>
      <c r="E1428" s="286" t="s">
        <v>1259</v>
      </c>
      <c r="F1428" s="108"/>
      <c r="G1428" s="287" t="s">
        <v>1344</v>
      </c>
      <c r="H1428" s="103"/>
      <c r="I1428" s="103"/>
      <c r="J1428" s="109" t="s">
        <v>5</v>
      </c>
      <c r="K1428" s="110">
        <f>K1427+K1426</f>
        <v>9841715.0099999998</v>
      </c>
      <c r="L1428" s="67"/>
      <c r="M1428" s="67"/>
      <c r="N1428" s="282"/>
      <c r="O1428" s="282"/>
      <c r="P1428" s="282"/>
      <c r="Q1428" s="282"/>
      <c r="R1428" s="282"/>
      <c r="S1428" s="282"/>
      <c r="T1428" s="282" t="e">
        <f t="shared" ref="T1428" si="1160">T1427+T1426</f>
        <v>#REF!</v>
      </c>
      <c r="U1428" s="282"/>
      <c r="V1428" s="282"/>
      <c r="W1428" s="282"/>
      <c r="X1428" s="282">
        <f t="shared" ref="X1428:AP1428" si="1161">X1427+X1426</f>
        <v>880015.01</v>
      </c>
      <c r="Y1428" s="282">
        <f t="shared" si="1161"/>
        <v>863050</v>
      </c>
      <c r="Z1428" s="508">
        <f t="shared" si="1161"/>
        <v>825050</v>
      </c>
      <c r="AA1428" s="551">
        <f t="shared" si="1161"/>
        <v>792550</v>
      </c>
      <c r="AB1428" s="282">
        <f t="shared" si="1161"/>
        <v>745300</v>
      </c>
      <c r="AC1428" s="282">
        <f t="shared" si="1161"/>
        <v>539050</v>
      </c>
      <c r="AD1428" s="282">
        <f t="shared" si="1161"/>
        <v>521800</v>
      </c>
      <c r="AE1428" s="282">
        <f t="shared" si="1161"/>
        <v>504550</v>
      </c>
      <c r="AF1428" s="282">
        <f t="shared" si="1161"/>
        <v>487300</v>
      </c>
      <c r="AG1428" s="282">
        <f t="shared" si="1161"/>
        <v>470050</v>
      </c>
      <c r="AH1428" s="282">
        <f t="shared" si="1161"/>
        <v>452800</v>
      </c>
      <c r="AI1428" s="282">
        <f t="shared" si="1161"/>
        <v>439000</v>
      </c>
      <c r="AJ1428" s="282">
        <f t="shared" si="1161"/>
        <v>425200</v>
      </c>
      <c r="AK1428" s="282">
        <f t="shared" si="1161"/>
        <v>411400</v>
      </c>
      <c r="AL1428" s="282">
        <f t="shared" si="1161"/>
        <v>392600</v>
      </c>
      <c r="AM1428" s="282">
        <f t="shared" si="1161"/>
        <v>234000</v>
      </c>
      <c r="AN1428" s="282">
        <f t="shared" si="1161"/>
        <v>226200</v>
      </c>
      <c r="AO1428" s="282">
        <f t="shared" si="1161"/>
        <v>218400</v>
      </c>
      <c r="AP1428" s="282">
        <f t="shared" si="1161"/>
        <v>210600</v>
      </c>
      <c r="AQ1428" s="282">
        <f t="shared" ref="AQ1428" si="1162">AQ1427+AQ1426</f>
        <v>202800</v>
      </c>
      <c r="AR1428" s="134" t="s">
        <v>11</v>
      </c>
      <c r="AS1428" s="69"/>
      <c r="AT1428" s="69"/>
    </row>
    <row r="1429" spans="1:46" s="2" customFormat="1" ht="13.8" thickBot="1" x14ac:dyDescent="0.3">
      <c r="A1429" s="119"/>
      <c r="B1429" s="119"/>
      <c r="C1429" s="308"/>
      <c r="D1429" s="49"/>
      <c r="E1429" s="49"/>
      <c r="F1429" s="49"/>
      <c r="G1429" s="128" t="s">
        <v>1306</v>
      </c>
      <c r="H1429" s="128"/>
      <c r="I1429" s="128"/>
      <c r="J1429" s="48"/>
      <c r="K1429" s="96"/>
      <c r="L1429" s="97"/>
      <c r="M1429" s="97"/>
      <c r="N1429" s="97"/>
      <c r="O1429" s="97"/>
      <c r="P1429" s="98"/>
      <c r="Q1429" s="98"/>
      <c r="R1429" s="98"/>
      <c r="S1429" s="383"/>
      <c r="T1429" s="98"/>
      <c r="U1429" s="48"/>
      <c r="V1429" s="48"/>
      <c r="W1429" s="48"/>
      <c r="X1429" s="48"/>
      <c r="Y1429" s="48"/>
      <c r="Z1429" s="48"/>
      <c r="AA1429" s="48"/>
      <c r="AB1429" s="48"/>
      <c r="AC1429" s="48"/>
      <c r="AD1429" s="48"/>
      <c r="AE1429" s="48"/>
      <c r="AF1429" s="48"/>
      <c r="AG1429" s="48"/>
      <c r="AH1429" s="48"/>
      <c r="AI1429" s="48"/>
      <c r="AJ1429" s="48"/>
      <c r="AK1429" s="48"/>
      <c r="AL1429" s="48"/>
      <c r="AM1429" s="48"/>
      <c r="AN1429" s="48"/>
      <c r="AO1429" s="48"/>
      <c r="AP1429" s="48"/>
      <c r="AQ1429" s="48"/>
      <c r="AR1429" s="48"/>
      <c r="AS1429" s="48"/>
      <c r="AT1429" s="48"/>
    </row>
    <row r="1430" spans="1:46" s="446" customFormat="1" x14ac:dyDescent="0.25">
      <c r="A1430" s="26" t="s">
        <v>101</v>
      </c>
      <c r="B1430" s="26" t="s">
        <v>96</v>
      </c>
      <c r="C1430" s="444"/>
      <c r="D1430" s="54" t="s">
        <v>3</v>
      </c>
      <c r="E1430" s="389">
        <v>45448</v>
      </c>
      <c r="F1430" s="485" t="s">
        <v>266</v>
      </c>
      <c r="G1430" s="320" t="s">
        <v>1307</v>
      </c>
      <c r="H1430" s="435">
        <v>31610366</v>
      </c>
      <c r="I1430" s="320">
        <v>582004</v>
      </c>
      <c r="J1430" s="2" t="s">
        <v>1</v>
      </c>
      <c r="K1430" s="27">
        <v>1990000</v>
      </c>
      <c r="L1430" s="4"/>
      <c r="M1430" s="4"/>
      <c r="N1430" s="4"/>
      <c r="O1430" s="4"/>
      <c r="P1430" s="4"/>
      <c r="Q1430" s="453"/>
      <c r="R1430" s="453"/>
      <c r="S1430" s="453"/>
      <c r="T1430" s="453"/>
      <c r="U1430" s="445"/>
      <c r="V1430" s="419"/>
      <c r="W1430" s="457"/>
      <c r="X1430" s="457"/>
      <c r="Y1430" s="457">
        <v>100000</v>
      </c>
      <c r="Z1430" s="512">
        <v>100000</v>
      </c>
      <c r="AA1430" s="555">
        <v>100000</v>
      </c>
      <c r="AB1430" s="457">
        <v>100000</v>
      </c>
      <c r="AC1430" s="457">
        <v>100000</v>
      </c>
      <c r="AD1430" s="457">
        <v>100000</v>
      </c>
      <c r="AE1430" s="457">
        <v>100000</v>
      </c>
      <c r="AF1430" s="457">
        <v>100000</v>
      </c>
      <c r="AG1430" s="457">
        <v>100000</v>
      </c>
      <c r="AH1430" s="457">
        <v>100000</v>
      </c>
      <c r="AI1430" s="457">
        <v>100000</v>
      </c>
      <c r="AJ1430" s="457">
        <v>100000</v>
      </c>
      <c r="AK1430" s="457">
        <v>100000</v>
      </c>
      <c r="AL1430" s="457">
        <v>100000</v>
      </c>
      <c r="AM1430" s="457">
        <v>100000</v>
      </c>
      <c r="AN1430" s="457">
        <v>100000</v>
      </c>
      <c r="AO1430" s="457">
        <v>100000</v>
      </c>
      <c r="AP1430" s="457">
        <v>100000</v>
      </c>
      <c r="AQ1430" s="457">
        <v>95000</v>
      </c>
      <c r="AR1430" s="457">
        <v>95000</v>
      </c>
      <c r="AS1430" s="2" t="s">
        <v>11</v>
      </c>
      <c r="AT1430" s="2"/>
    </row>
    <row r="1431" spans="1:46" s="446" customFormat="1" x14ac:dyDescent="0.25">
      <c r="A1431" s="400" t="s">
        <v>1355</v>
      </c>
      <c r="B1431" s="26"/>
      <c r="C1431" s="444"/>
      <c r="D1431" s="54"/>
      <c r="E1431" s="387" t="s">
        <v>12</v>
      </c>
      <c r="F1431" s="35"/>
      <c r="G1431" s="35" t="s">
        <v>1308</v>
      </c>
      <c r="H1431" s="146" t="s">
        <v>1108</v>
      </c>
      <c r="I1431" s="35"/>
      <c r="J1431" s="17" t="s">
        <v>2</v>
      </c>
      <c r="K1431" s="447">
        <v>886204.44</v>
      </c>
      <c r="L1431" s="11"/>
      <c r="M1431" s="11"/>
      <c r="N1431" s="11"/>
      <c r="O1431" s="11"/>
      <c r="P1431" s="4"/>
      <c r="Q1431" s="453"/>
      <c r="R1431" s="453"/>
      <c r="S1431" s="453"/>
      <c r="T1431" s="453"/>
      <c r="U1431" s="445"/>
      <c r="V1431" s="448"/>
      <c r="W1431" s="457"/>
      <c r="X1431" s="457"/>
      <c r="Y1431" s="457">
        <f>43804.44+44800</f>
        <v>88604.44</v>
      </c>
      <c r="Z1431" s="512">
        <f>42300+42300</f>
        <v>84600</v>
      </c>
      <c r="AA1431" s="555">
        <f>39800+39800</f>
        <v>79600</v>
      </c>
      <c r="AB1431" s="457">
        <f>37300+37300</f>
        <v>74600</v>
      </c>
      <c r="AC1431" s="457">
        <f>34800+34800</f>
        <v>69600</v>
      </c>
      <c r="AD1431" s="457">
        <f>32300+32300</f>
        <v>64600</v>
      </c>
      <c r="AE1431" s="457">
        <f>29800+29800</f>
        <v>59600</v>
      </c>
      <c r="AF1431" s="457">
        <f>27300+27300</f>
        <v>54600</v>
      </c>
      <c r="AG1431" s="457">
        <f>24800+24800</f>
        <v>49600</v>
      </c>
      <c r="AH1431" s="457">
        <f>22300+22300</f>
        <v>44600</v>
      </c>
      <c r="AI1431" s="457">
        <f>19800+19800</f>
        <v>39600</v>
      </c>
      <c r="AJ1431" s="457">
        <f>17800+17800</f>
        <v>35600</v>
      </c>
      <c r="AK1431" s="445">
        <f>15800+15800</f>
        <v>31600</v>
      </c>
      <c r="AL1431" s="445">
        <f>13800+13800</f>
        <v>27600</v>
      </c>
      <c r="AM1431" s="445">
        <f>11800+11800</f>
        <v>23600</v>
      </c>
      <c r="AN1431" s="445">
        <f>9800+9800</f>
        <v>19600</v>
      </c>
      <c r="AO1431" s="445">
        <f>7800+7800</f>
        <v>15600</v>
      </c>
      <c r="AP1431" s="445">
        <f>5800+5800</f>
        <v>11600</v>
      </c>
      <c r="AQ1431" s="445">
        <f>3800+3800</f>
        <v>7600</v>
      </c>
      <c r="AR1431" s="445">
        <f>1900+1900</f>
        <v>3800</v>
      </c>
      <c r="AS1431" s="17" t="s">
        <v>11</v>
      </c>
      <c r="AT1431" s="17"/>
    </row>
    <row r="1432" spans="1:46" s="450" customFormat="1" ht="13.8" thickBot="1" x14ac:dyDescent="0.3">
      <c r="A1432" s="120"/>
      <c r="B1432" s="120"/>
      <c r="C1432" s="120"/>
      <c r="D1432" s="85"/>
      <c r="E1432" s="390" t="s">
        <v>40</v>
      </c>
      <c r="F1432" s="391" t="s">
        <v>412</v>
      </c>
      <c r="G1432" s="141" t="s">
        <v>1309</v>
      </c>
      <c r="H1432" s="145"/>
      <c r="I1432" s="125"/>
      <c r="J1432" s="450" t="s">
        <v>5</v>
      </c>
      <c r="K1432" s="451">
        <f>K1431+K1430</f>
        <v>2876204.44</v>
      </c>
      <c r="L1432" s="43"/>
      <c r="M1432" s="43"/>
      <c r="N1432" s="43"/>
      <c r="O1432" s="43"/>
      <c r="P1432" s="43">
        <f>P1431+P1430</f>
        <v>0</v>
      </c>
      <c r="Q1432" s="414"/>
      <c r="R1432" s="43">
        <f>R1431+R1430</f>
        <v>0</v>
      </c>
      <c r="S1432" s="43">
        <f>S1431+S1430</f>
        <v>0</v>
      </c>
      <c r="T1432" s="43"/>
      <c r="U1432" s="43">
        <f>U1431+U1430</f>
        <v>0</v>
      </c>
      <c r="V1432" s="412"/>
      <c r="W1432" s="412"/>
      <c r="X1432" s="412"/>
      <c r="Y1432" s="412">
        <f t="shared" ref="Y1432:AR1432" si="1163">Y1431+Y1430</f>
        <v>188604.44</v>
      </c>
      <c r="Z1432" s="510">
        <f t="shared" si="1163"/>
        <v>184600</v>
      </c>
      <c r="AA1432" s="553">
        <f t="shared" si="1163"/>
        <v>179600</v>
      </c>
      <c r="AB1432" s="412">
        <f t="shared" si="1163"/>
        <v>174600</v>
      </c>
      <c r="AC1432" s="412">
        <f t="shared" si="1163"/>
        <v>169600</v>
      </c>
      <c r="AD1432" s="412">
        <f t="shared" si="1163"/>
        <v>164600</v>
      </c>
      <c r="AE1432" s="412">
        <f t="shared" si="1163"/>
        <v>159600</v>
      </c>
      <c r="AF1432" s="412">
        <f t="shared" si="1163"/>
        <v>154600</v>
      </c>
      <c r="AG1432" s="412">
        <f t="shared" si="1163"/>
        <v>149600</v>
      </c>
      <c r="AH1432" s="412">
        <f t="shared" si="1163"/>
        <v>144600</v>
      </c>
      <c r="AI1432" s="412">
        <f t="shared" si="1163"/>
        <v>139600</v>
      </c>
      <c r="AJ1432" s="412">
        <f t="shared" si="1163"/>
        <v>135600</v>
      </c>
      <c r="AK1432" s="412">
        <f t="shared" si="1163"/>
        <v>131600</v>
      </c>
      <c r="AL1432" s="412">
        <f t="shared" si="1163"/>
        <v>127600</v>
      </c>
      <c r="AM1432" s="412">
        <f t="shared" si="1163"/>
        <v>123600</v>
      </c>
      <c r="AN1432" s="412">
        <f t="shared" si="1163"/>
        <v>119600</v>
      </c>
      <c r="AO1432" s="412">
        <f t="shared" si="1163"/>
        <v>115600</v>
      </c>
      <c r="AP1432" s="412">
        <f t="shared" si="1163"/>
        <v>111600</v>
      </c>
      <c r="AQ1432" s="412">
        <f t="shared" si="1163"/>
        <v>102600</v>
      </c>
      <c r="AR1432" s="412">
        <f t="shared" si="1163"/>
        <v>98800</v>
      </c>
      <c r="AS1432" s="41" t="s">
        <v>11</v>
      </c>
      <c r="AT1432" s="41"/>
    </row>
    <row r="1433" spans="1:46" s="446" customFormat="1" x14ac:dyDescent="0.25">
      <c r="A1433" s="380" t="s">
        <v>99</v>
      </c>
      <c r="B1433" s="26" t="s">
        <v>96</v>
      </c>
      <c r="C1433" s="444"/>
      <c r="D1433" s="54" t="s">
        <v>3</v>
      </c>
      <c r="E1433" s="389">
        <v>45448</v>
      </c>
      <c r="F1433" s="456" t="s">
        <v>266</v>
      </c>
      <c r="G1433" s="313" t="s">
        <v>457</v>
      </c>
      <c r="H1433" s="436">
        <v>31422366</v>
      </c>
      <c r="I1433" s="313">
        <v>586200</v>
      </c>
      <c r="J1433" s="2" t="s">
        <v>1</v>
      </c>
      <c r="K1433" s="27">
        <v>470000</v>
      </c>
      <c r="L1433" s="4"/>
      <c r="M1433" s="4"/>
      <c r="N1433" s="4"/>
      <c r="O1433" s="4"/>
      <c r="P1433" s="4"/>
      <c r="Q1433" s="453"/>
      <c r="R1433" s="453"/>
      <c r="S1433" s="453"/>
      <c r="T1433" s="453"/>
      <c r="U1433" s="445"/>
      <c r="V1433" s="419"/>
      <c r="W1433" s="457"/>
      <c r="X1433" s="457"/>
      <c r="Y1433" s="457">
        <v>35000</v>
      </c>
      <c r="Z1433" s="512">
        <v>35000</v>
      </c>
      <c r="AA1433" s="555">
        <v>35000</v>
      </c>
      <c r="AB1433" s="457">
        <v>35000</v>
      </c>
      <c r="AC1433" s="457">
        <v>30000</v>
      </c>
      <c r="AD1433" s="457">
        <v>30000</v>
      </c>
      <c r="AE1433" s="457">
        <v>30000</v>
      </c>
      <c r="AF1433" s="457">
        <v>30000</v>
      </c>
      <c r="AG1433" s="457">
        <v>30000</v>
      </c>
      <c r="AH1433" s="457">
        <v>30000</v>
      </c>
      <c r="AI1433" s="457">
        <v>30000</v>
      </c>
      <c r="AJ1433" s="457">
        <v>30000</v>
      </c>
      <c r="AK1433" s="457">
        <v>30000</v>
      </c>
      <c r="AL1433" s="457">
        <v>30000</v>
      </c>
      <c r="AM1433" s="457">
        <v>30000</v>
      </c>
      <c r="AN1433" s="2" t="s">
        <v>11</v>
      </c>
      <c r="AO1433" s="457"/>
      <c r="AP1433" s="457"/>
      <c r="AQ1433" s="457"/>
      <c r="AR1433" s="2"/>
      <c r="AS1433" s="2"/>
      <c r="AT1433" s="2"/>
    </row>
    <row r="1434" spans="1:46" s="446" customFormat="1" x14ac:dyDescent="0.25">
      <c r="A1434" s="400" t="s">
        <v>1354</v>
      </c>
      <c r="B1434" s="26"/>
      <c r="C1434" s="444"/>
      <c r="D1434" s="54"/>
      <c r="E1434" s="387" t="s">
        <v>12</v>
      </c>
      <c r="F1434" s="35"/>
      <c r="G1434" s="35" t="s">
        <v>1310</v>
      </c>
      <c r="H1434" s="146" t="s">
        <v>1107</v>
      </c>
      <c r="I1434" s="35"/>
      <c r="J1434" s="17" t="s">
        <v>2</v>
      </c>
      <c r="K1434" s="447">
        <v>162755.56</v>
      </c>
      <c r="L1434" s="11"/>
      <c r="M1434" s="11"/>
      <c r="N1434" s="11"/>
      <c r="O1434" s="11"/>
      <c r="P1434" s="4"/>
      <c r="Q1434" s="453"/>
      <c r="R1434" s="453"/>
      <c r="S1434" s="453"/>
      <c r="T1434" s="453"/>
      <c r="U1434" s="445"/>
      <c r="V1434" s="448"/>
      <c r="W1434" s="457"/>
      <c r="X1434" s="457"/>
      <c r="Y1434" s="457">
        <f>10755.56+11000</f>
        <v>21755.559999999998</v>
      </c>
      <c r="Z1434" s="512">
        <f>10125+10125</f>
        <v>20250</v>
      </c>
      <c r="AA1434" s="555">
        <f>9250+9250</f>
        <v>18500</v>
      </c>
      <c r="AB1434" s="457">
        <f>8375+8375</f>
        <v>16750</v>
      </c>
      <c r="AC1434" s="457">
        <f>7500+7500</f>
        <v>15000</v>
      </c>
      <c r="AD1434" s="457">
        <f>6750+6750</f>
        <v>13500</v>
      </c>
      <c r="AE1434" s="457">
        <f>6000+6000</f>
        <v>12000</v>
      </c>
      <c r="AF1434" s="457">
        <f>5250+5250</f>
        <v>10500</v>
      </c>
      <c r="AG1434" s="457">
        <f>4500+4500</f>
        <v>9000</v>
      </c>
      <c r="AH1434" s="457">
        <f>3750+3750</f>
        <v>7500</v>
      </c>
      <c r="AI1434" s="457">
        <f>3000+3000</f>
        <v>6000</v>
      </c>
      <c r="AJ1434" s="457">
        <f>2400+2400</f>
        <v>4800</v>
      </c>
      <c r="AK1434" s="457">
        <f>1800+1800</f>
        <v>3600</v>
      </c>
      <c r="AL1434" s="457">
        <f>1200+1200</f>
        <v>2400</v>
      </c>
      <c r="AM1434" s="457">
        <f>600+600</f>
        <v>1200</v>
      </c>
      <c r="AN1434" s="17" t="s">
        <v>11</v>
      </c>
      <c r="AO1434" s="457"/>
      <c r="AP1434" s="457"/>
      <c r="AQ1434" s="457"/>
      <c r="AR1434" s="17"/>
      <c r="AS1434" s="17"/>
      <c r="AT1434" s="17"/>
    </row>
    <row r="1435" spans="1:46" s="450" customFormat="1" ht="13.8" thickBot="1" x14ac:dyDescent="0.3">
      <c r="A1435" s="120"/>
      <c r="B1435" s="120"/>
      <c r="C1435" s="120"/>
      <c r="D1435" s="85"/>
      <c r="E1435" s="390" t="s">
        <v>15</v>
      </c>
      <c r="F1435" s="391" t="s">
        <v>405</v>
      </c>
      <c r="G1435" s="141" t="s">
        <v>1311</v>
      </c>
      <c r="H1435" s="145"/>
      <c r="I1435" s="125"/>
      <c r="J1435" s="450" t="s">
        <v>5</v>
      </c>
      <c r="K1435" s="451">
        <f>K1434+K1433</f>
        <v>632755.56000000006</v>
      </c>
      <c r="L1435" s="43"/>
      <c r="M1435" s="43"/>
      <c r="N1435" s="43"/>
      <c r="O1435" s="43"/>
      <c r="P1435" s="43">
        <f>P1434+P1433</f>
        <v>0</v>
      </c>
      <c r="Q1435" s="414"/>
      <c r="R1435" s="43">
        <f>R1434+R1433</f>
        <v>0</v>
      </c>
      <c r="S1435" s="43">
        <f>S1434+S1433</f>
        <v>0</v>
      </c>
      <c r="T1435" s="43"/>
      <c r="U1435" s="43">
        <f>U1434+U1433</f>
        <v>0</v>
      </c>
      <c r="V1435" s="412"/>
      <c r="W1435" s="412"/>
      <c r="X1435" s="412"/>
      <c r="Y1435" s="412">
        <f>Y1434+Y1433</f>
        <v>56755.56</v>
      </c>
      <c r="Z1435" s="510">
        <f>Z1434+Z1433</f>
        <v>55250</v>
      </c>
      <c r="AA1435" s="553">
        <f>AA1434+AA1433</f>
        <v>53500</v>
      </c>
      <c r="AB1435" s="412">
        <f t="shared" ref="AB1435:AM1435" si="1164">AB1434+AB1433</f>
        <v>51750</v>
      </c>
      <c r="AC1435" s="412">
        <f t="shared" si="1164"/>
        <v>45000</v>
      </c>
      <c r="AD1435" s="412">
        <f t="shared" si="1164"/>
        <v>43500</v>
      </c>
      <c r="AE1435" s="412">
        <f t="shared" si="1164"/>
        <v>42000</v>
      </c>
      <c r="AF1435" s="412">
        <f t="shared" si="1164"/>
        <v>40500</v>
      </c>
      <c r="AG1435" s="412">
        <f t="shared" si="1164"/>
        <v>39000</v>
      </c>
      <c r="AH1435" s="412">
        <f t="shared" si="1164"/>
        <v>37500</v>
      </c>
      <c r="AI1435" s="412">
        <f t="shared" si="1164"/>
        <v>36000</v>
      </c>
      <c r="AJ1435" s="412">
        <f t="shared" si="1164"/>
        <v>34800</v>
      </c>
      <c r="AK1435" s="412">
        <f t="shared" si="1164"/>
        <v>33600</v>
      </c>
      <c r="AL1435" s="412">
        <f t="shared" si="1164"/>
        <v>32400</v>
      </c>
      <c r="AM1435" s="412">
        <f t="shared" si="1164"/>
        <v>31200</v>
      </c>
      <c r="AN1435" s="41" t="s">
        <v>11</v>
      </c>
      <c r="AO1435" s="412"/>
      <c r="AP1435" s="412"/>
      <c r="AQ1435" s="412"/>
      <c r="AR1435" s="41"/>
      <c r="AS1435" s="41"/>
      <c r="AT1435" s="41"/>
    </row>
    <row r="1436" spans="1:46" s="446" customFormat="1" x14ac:dyDescent="0.25">
      <c r="A1436" s="380" t="s">
        <v>95</v>
      </c>
      <c r="B1436" s="26" t="s">
        <v>96</v>
      </c>
      <c r="C1436" s="444"/>
      <c r="D1436" s="54" t="s">
        <v>3</v>
      </c>
      <c r="E1436" s="389">
        <v>45448</v>
      </c>
      <c r="F1436" s="456" t="s">
        <v>266</v>
      </c>
      <c r="G1436" s="318" t="s">
        <v>1312</v>
      </c>
      <c r="H1436" s="429">
        <v>31300366</v>
      </c>
      <c r="I1436" s="318">
        <v>582001</v>
      </c>
      <c r="J1436" s="2" t="s">
        <v>1</v>
      </c>
      <c r="K1436" s="27">
        <v>3320000</v>
      </c>
      <c r="L1436" s="4"/>
      <c r="M1436" s="4"/>
      <c r="N1436" s="4"/>
      <c r="O1436" s="4"/>
      <c r="P1436" s="4"/>
      <c r="Q1436" s="453"/>
      <c r="R1436" s="453"/>
      <c r="S1436" s="453"/>
      <c r="T1436" s="453"/>
      <c r="U1436" s="445"/>
      <c r="V1436" s="420"/>
      <c r="W1436" s="445"/>
      <c r="X1436" s="445"/>
      <c r="Y1436" s="445">
        <v>170000</v>
      </c>
      <c r="Z1436" s="513">
        <v>170000</v>
      </c>
      <c r="AA1436" s="556">
        <v>170000</v>
      </c>
      <c r="AB1436" s="445">
        <v>170000</v>
      </c>
      <c r="AC1436" s="445">
        <v>165000</v>
      </c>
      <c r="AD1436" s="445">
        <v>165000</v>
      </c>
      <c r="AE1436" s="445">
        <v>165000</v>
      </c>
      <c r="AF1436" s="445">
        <v>165000</v>
      </c>
      <c r="AG1436" s="445">
        <v>165000</v>
      </c>
      <c r="AH1436" s="445">
        <v>165000</v>
      </c>
      <c r="AI1436" s="445">
        <v>165000</v>
      </c>
      <c r="AJ1436" s="445">
        <v>165000</v>
      </c>
      <c r="AK1436" s="445">
        <v>165000</v>
      </c>
      <c r="AL1436" s="445">
        <v>165000</v>
      </c>
      <c r="AM1436" s="445">
        <v>165000</v>
      </c>
      <c r="AN1436" s="445">
        <v>165000</v>
      </c>
      <c r="AO1436" s="445">
        <v>165000</v>
      </c>
      <c r="AP1436" s="445">
        <v>165000</v>
      </c>
      <c r="AQ1436" s="445">
        <v>165000</v>
      </c>
      <c r="AR1436" s="445">
        <v>165000</v>
      </c>
      <c r="AS1436" s="2" t="s">
        <v>11</v>
      </c>
      <c r="AT1436" s="2"/>
    </row>
    <row r="1437" spans="1:46" s="446" customFormat="1" x14ac:dyDescent="0.25">
      <c r="A1437" s="400" t="s">
        <v>1353</v>
      </c>
      <c r="B1437" s="26"/>
      <c r="C1437" s="444"/>
      <c r="D1437" s="54"/>
      <c r="E1437" s="387" t="s">
        <v>12</v>
      </c>
      <c r="F1437" s="35"/>
      <c r="G1437" s="35" t="s">
        <v>1314</v>
      </c>
      <c r="H1437" s="146" t="s">
        <v>1108</v>
      </c>
      <c r="I1437" s="35"/>
      <c r="J1437" s="17" t="s">
        <v>2</v>
      </c>
      <c r="K1437" s="447">
        <v>1477588.89</v>
      </c>
      <c r="L1437" s="11"/>
      <c r="M1437" s="11"/>
      <c r="N1437" s="11"/>
      <c r="O1437" s="11"/>
      <c r="P1437" s="4"/>
      <c r="Q1437" s="453"/>
      <c r="R1437" s="453"/>
      <c r="S1437" s="453"/>
      <c r="T1437" s="453"/>
      <c r="U1437" s="445"/>
      <c r="V1437" s="420"/>
      <c r="W1437" s="445"/>
      <c r="X1437" s="445"/>
      <c r="Y1437" s="445">
        <f>73088.89+74750</f>
        <v>147838.89000000001</v>
      </c>
      <c r="Z1437" s="513">
        <f>70500+70500</f>
        <v>141000</v>
      </c>
      <c r="AA1437" s="556">
        <f>66250+66250</f>
        <v>132500</v>
      </c>
      <c r="AB1437" s="445">
        <f>62000+62000</f>
        <v>124000</v>
      </c>
      <c r="AC1437" s="445">
        <f>57750+57750</f>
        <v>115500</v>
      </c>
      <c r="AD1437" s="445">
        <f>53625+53625</f>
        <v>107250</v>
      </c>
      <c r="AE1437" s="445">
        <f>49500+49500</f>
        <v>99000</v>
      </c>
      <c r="AF1437" s="445">
        <f>45375+45375</f>
        <v>90750</v>
      </c>
      <c r="AG1437" s="445">
        <f>41250+41250</f>
        <v>82500</v>
      </c>
      <c r="AH1437" s="445">
        <f>37125+37125</f>
        <v>74250</v>
      </c>
      <c r="AI1437" s="445">
        <f>33000+33000</f>
        <v>66000</v>
      </c>
      <c r="AJ1437" s="445">
        <f>29700+29700</f>
        <v>59400</v>
      </c>
      <c r="AK1437" s="445">
        <f>26400+26400</f>
        <v>52800</v>
      </c>
      <c r="AL1437" s="445">
        <f>23100+23100</f>
        <v>46200</v>
      </c>
      <c r="AM1437" s="445">
        <f>19800+19800</f>
        <v>39600</v>
      </c>
      <c r="AN1437" s="445">
        <f>16500+16500</f>
        <v>33000</v>
      </c>
      <c r="AO1437" s="445">
        <f>13200+13200</f>
        <v>26400</v>
      </c>
      <c r="AP1437" s="445">
        <f>9900+9900</f>
        <v>19800</v>
      </c>
      <c r="AQ1437" s="445">
        <f>6600+6600</f>
        <v>13200</v>
      </c>
      <c r="AR1437" s="445">
        <f>3300+3300</f>
        <v>6600</v>
      </c>
      <c r="AS1437" s="17" t="s">
        <v>11</v>
      </c>
      <c r="AT1437" s="17"/>
    </row>
    <row r="1438" spans="1:46" s="450" customFormat="1" ht="13.8" thickBot="1" x14ac:dyDescent="0.3">
      <c r="A1438" s="120"/>
      <c r="B1438" s="120"/>
      <c r="C1438" s="120"/>
      <c r="D1438" s="85"/>
      <c r="E1438" s="390" t="s">
        <v>1183</v>
      </c>
      <c r="F1438" s="86" t="s">
        <v>408</v>
      </c>
      <c r="G1438" s="125" t="s">
        <v>1313</v>
      </c>
      <c r="H1438" s="145"/>
      <c r="I1438" s="125"/>
      <c r="J1438" s="450" t="s">
        <v>5</v>
      </c>
      <c r="K1438" s="451">
        <f>K1437+K1436</f>
        <v>4797588.8899999997</v>
      </c>
      <c r="L1438" s="43"/>
      <c r="M1438" s="43"/>
      <c r="N1438" s="43"/>
      <c r="O1438" s="43"/>
      <c r="P1438" s="43">
        <f>P1437+P1436</f>
        <v>0</v>
      </c>
      <c r="Q1438" s="414"/>
      <c r="R1438" s="43">
        <f>R1437+R1436</f>
        <v>0</v>
      </c>
      <c r="S1438" s="43">
        <f>S1437+S1436</f>
        <v>0</v>
      </c>
      <c r="T1438" s="43"/>
      <c r="U1438" s="43">
        <f t="shared" ref="U1438" si="1165">U1437+U1436</f>
        <v>0</v>
      </c>
      <c r="V1438" s="412"/>
      <c r="W1438" s="412"/>
      <c r="X1438" s="412"/>
      <c r="Y1438" s="412">
        <f t="shared" ref="Y1438:AR1438" si="1166">Y1437+Y1436</f>
        <v>317838.89</v>
      </c>
      <c r="Z1438" s="510">
        <f t="shared" si="1166"/>
        <v>311000</v>
      </c>
      <c r="AA1438" s="553">
        <f t="shared" si="1166"/>
        <v>302500</v>
      </c>
      <c r="AB1438" s="412">
        <f t="shared" si="1166"/>
        <v>294000</v>
      </c>
      <c r="AC1438" s="412">
        <f t="shared" si="1166"/>
        <v>280500</v>
      </c>
      <c r="AD1438" s="412">
        <f t="shared" si="1166"/>
        <v>272250</v>
      </c>
      <c r="AE1438" s="412">
        <f t="shared" si="1166"/>
        <v>264000</v>
      </c>
      <c r="AF1438" s="412">
        <f t="shared" si="1166"/>
        <v>255750</v>
      </c>
      <c r="AG1438" s="412">
        <f t="shared" si="1166"/>
        <v>247500</v>
      </c>
      <c r="AH1438" s="412">
        <f t="shared" si="1166"/>
        <v>239250</v>
      </c>
      <c r="AI1438" s="412">
        <f t="shared" si="1166"/>
        <v>231000</v>
      </c>
      <c r="AJ1438" s="412">
        <f t="shared" si="1166"/>
        <v>224400</v>
      </c>
      <c r="AK1438" s="412">
        <f t="shared" si="1166"/>
        <v>217800</v>
      </c>
      <c r="AL1438" s="412">
        <f t="shared" si="1166"/>
        <v>211200</v>
      </c>
      <c r="AM1438" s="412">
        <f t="shared" si="1166"/>
        <v>204600</v>
      </c>
      <c r="AN1438" s="412">
        <f t="shared" si="1166"/>
        <v>198000</v>
      </c>
      <c r="AO1438" s="412">
        <f t="shared" si="1166"/>
        <v>191400</v>
      </c>
      <c r="AP1438" s="412">
        <f t="shared" si="1166"/>
        <v>184800</v>
      </c>
      <c r="AQ1438" s="412">
        <f t="shared" si="1166"/>
        <v>178200</v>
      </c>
      <c r="AR1438" s="412">
        <f t="shared" si="1166"/>
        <v>171600</v>
      </c>
      <c r="AS1438" s="41" t="s">
        <v>11</v>
      </c>
      <c r="AT1438" s="41"/>
    </row>
    <row r="1439" spans="1:46" s="3" customFormat="1" x14ac:dyDescent="0.25">
      <c r="A1439" s="121"/>
      <c r="B1439" s="121"/>
      <c r="C1439" s="306"/>
      <c r="D1439" s="54"/>
      <c r="E1439" s="54"/>
      <c r="F1439" s="54"/>
      <c r="G1439" s="36" t="s">
        <v>32</v>
      </c>
      <c r="H1439" s="152">
        <v>1774919</v>
      </c>
      <c r="I1439" s="36">
        <v>591100</v>
      </c>
      <c r="J1439" s="33" t="s">
        <v>1</v>
      </c>
      <c r="K1439" s="37">
        <f>K1430+K1433+K1436</f>
        <v>5780000</v>
      </c>
      <c r="L1439" s="7"/>
      <c r="M1439" s="7"/>
      <c r="N1439" s="67"/>
      <c r="O1439" s="67"/>
      <c r="P1439" s="67"/>
      <c r="Q1439" s="67"/>
      <c r="R1439" s="67"/>
      <c r="S1439" s="67"/>
      <c r="T1439" s="67" t="e">
        <f>#REF!+#REF!+#REF!+#REF!+#REF!+#REF!+#REF!+#REF!+#REF!+#REF!+#REF!+#REF!+#REF!+#REF!</f>
        <v>#REF!</v>
      </c>
      <c r="U1439" s="67"/>
      <c r="V1439" s="67"/>
      <c r="W1439" s="67"/>
      <c r="X1439" s="67"/>
      <c r="Y1439" s="67">
        <f t="shared" ref="Y1439:AM1439" si="1167">Y1430+Y1433+Y1436</f>
        <v>305000</v>
      </c>
      <c r="Z1439" s="507">
        <f t="shared" si="1167"/>
        <v>305000</v>
      </c>
      <c r="AA1439" s="546">
        <f t="shared" si="1167"/>
        <v>305000</v>
      </c>
      <c r="AB1439" s="67">
        <f t="shared" si="1167"/>
        <v>305000</v>
      </c>
      <c r="AC1439" s="67">
        <f t="shared" si="1167"/>
        <v>295000</v>
      </c>
      <c r="AD1439" s="67">
        <f t="shared" si="1167"/>
        <v>295000</v>
      </c>
      <c r="AE1439" s="67">
        <f t="shared" si="1167"/>
        <v>295000</v>
      </c>
      <c r="AF1439" s="67">
        <f t="shared" si="1167"/>
        <v>295000</v>
      </c>
      <c r="AG1439" s="67">
        <f t="shared" si="1167"/>
        <v>295000</v>
      </c>
      <c r="AH1439" s="67">
        <f t="shared" si="1167"/>
        <v>295000</v>
      </c>
      <c r="AI1439" s="67">
        <f t="shared" si="1167"/>
        <v>295000</v>
      </c>
      <c r="AJ1439" s="67">
        <f t="shared" si="1167"/>
        <v>295000</v>
      </c>
      <c r="AK1439" s="67">
        <f t="shared" si="1167"/>
        <v>295000</v>
      </c>
      <c r="AL1439" s="67">
        <f t="shared" si="1167"/>
        <v>295000</v>
      </c>
      <c r="AM1439" s="67">
        <f t="shared" si="1167"/>
        <v>295000</v>
      </c>
      <c r="AN1439" s="67">
        <f>AN1430+AN1436</f>
        <v>265000</v>
      </c>
      <c r="AO1439" s="67">
        <f t="shared" ref="AO1439:AR1439" si="1168">AO1430+AO1436</f>
        <v>265000</v>
      </c>
      <c r="AP1439" s="67">
        <f t="shared" si="1168"/>
        <v>265000</v>
      </c>
      <c r="AQ1439" s="67">
        <f t="shared" si="1168"/>
        <v>260000</v>
      </c>
      <c r="AR1439" s="67">
        <f t="shared" si="1168"/>
        <v>260000</v>
      </c>
      <c r="AS1439" s="3" t="s">
        <v>11</v>
      </c>
    </row>
    <row r="1440" spans="1:46" s="3" customFormat="1" x14ac:dyDescent="0.25">
      <c r="A1440" s="121"/>
      <c r="B1440" s="121"/>
      <c r="C1440" s="306"/>
      <c r="D1440" s="54"/>
      <c r="E1440" s="54"/>
      <c r="F1440" s="54"/>
      <c r="G1440" s="33"/>
      <c r="H1440" s="152">
        <v>1774919</v>
      </c>
      <c r="I1440" s="33">
        <v>595100</v>
      </c>
      <c r="J1440" s="38" t="s">
        <v>2</v>
      </c>
      <c r="K1440" s="37">
        <f>K1431+K1434+K1437</f>
        <v>2526548.8899999997</v>
      </c>
      <c r="L1440" s="16"/>
      <c r="M1440" s="16"/>
      <c r="N1440" s="7"/>
      <c r="O1440" s="7"/>
      <c r="P1440" s="7"/>
      <c r="Q1440" s="7"/>
      <c r="R1440" s="7"/>
      <c r="S1440" s="7"/>
      <c r="T1440" s="7" t="e">
        <f>#REF!+#REF!+#REF!+#REF!+#REF!+#REF!+#REF!+#REF!+#REF!+#REF!+#REF!+#REF!+#REF!+#REF!</f>
        <v>#REF!</v>
      </c>
      <c r="U1440" s="7"/>
      <c r="V1440" s="7"/>
      <c r="W1440" s="7"/>
      <c r="X1440" s="7"/>
      <c r="Y1440" s="7">
        <f t="shared" ref="Y1440:AM1440" si="1169">Y1431+Y1434+Y1437</f>
        <v>258198.89</v>
      </c>
      <c r="Z1440" s="501">
        <f t="shared" si="1169"/>
        <v>245850</v>
      </c>
      <c r="AA1440" s="540">
        <f t="shared" si="1169"/>
        <v>230600</v>
      </c>
      <c r="AB1440" s="7">
        <f t="shared" si="1169"/>
        <v>215350</v>
      </c>
      <c r="AC1440" s="7">
        <f t="shared" si="1169"/>
        <v>200100</v>
      </c>
      <c r="AD1440" s="7">
        <f t="shared" si="1169"/>
        <v>185350</v>
      </c>
      <c r="AE1440" s="7">
        <f t="shared" si="1169"/>
        <v>170600</v>
      </c>
      <c r="AF1440" s="7">
        <f t="shared" si="1169"/>
        <v>155850</v>
      </c>
      <c r="AG1440" s="7">
        <f t="shared" si="1169"/>
        <v>141100</v>
      </c>
      <c r="AH1440" s="7">
        <f t="shared" si="1169"/>
        <v>126350</v>
      </c>
      <c r="AI1440" s="7">
        <f t="shared" si="1169"/>
        <v>111600</v>
      </c>
      <c r="AJ1440" s="7">
        <f t="shared" si="1169"/>
        <v>99800</v>
      </c>
      <c r="AK1440" s="7">
        <f t="shared" si="1169"/>
        <v>88000</v>
      </c>
      <c r="AL1440" s="7">
        <f t="shared" si="1169"/>
        <v>76200</v>
      </c>
      <c r="AM1440" s="7">
        <f t="shared" si="1169"/>
        <v>64400</v>
      </c>
      <c r="AN1440" s="7">
        <f>AN1431+AN1437</f>
        <v>52600</v>
      </c>
      <c r="AO1440" s="7">
        <f t="shared" ref="AO1440:AR1440" si="1170">AO1431+AO1437</f>
        <v>42000</v>
      </c>
      <c r="AP1440" s="7">
        <f t="shared" si="1170"/>
        <v>31400</v>
      </c>
      <c r="AQ1440" s="7">
        <f t="shared" si="1170"/>
        <v>20800</v>
      </c>
      <c r="AR1440" s="7">
        <f t="shared" si="1170"/>
        <v>10400</v>
      </c>
      <c r="AS1440" s="20" t="s">
        <v>11</v>
      </c>
      <c r="AT1440" s="20"/>
    </row>
    <row r="1441" spans="1:46" s="8" customFormat="1" ht="13.8" thickBot="1" x14ac:dyDescent="0.3">
      <c r="A1441" s="122"/>
      <c r="B1441" s="122"/>
      <c r="C1441" s="307"/>
      <c r="D1441" s="85"/>
      <c r="E1441" s="85"/>
      <c r="F1441" s="85"/>
      <c r="G1441" s="141" t="s">
        <v>1315</v>
      </c>
      <c r="H1441" s="85"/>
      <c r="I1441" s="85"/>
      <c r="J1441" s="44" t="s">
        <v>5</v>
      </c>
      <c r="K1441" s="45">
        <f>K1440+K1439</f>
        <v>8306548.8899999997</v>
      </c>
      <c r="L1441" s="46"/>
      <c r="M1441" s="46"/>
      <c r="N1441" s="46"/>
      <c r="O1441" s="46"/>
      <c r="P1441" s="46"/>
      <c r="Q1441" s="46"/>
      <c r="R1441" s="46"/>
      <c r="S1441" s="46"/>
      <c r="T1441" s="46" t="e">
        <f t="shared" ref="T1441" si="1171">T1440+T1439</f>
        <v>#REF!</v>
      </c>
      <c r="U1441" s="46"/>
      <c r="V1441" s="46"/>
      <c r="W1441" s="46"/>
      <c r="X1441" s="46"/>
      <c r="Y1441" s="46">
        <f t="shared" ref="Y1441:AR1441" si="1172">Y1440+Y1439</f>
        <v>563198.89</v>
      </c>
      <c r="Z1441" s="503">
        <f t="shared" si="1172"/>
        <v>550850</v>
      </c>
      <c r="AA1441" s="542">
        <f t="shared" si="1172"/>
        <v>535600</v>
      </c>
      <c r="AB1441" s="46">
        <f t="shared" si="1172"/>
        <v>520350</v>
      </c>
      <c r="AC1441" s="46">
        <f t="shared" si="1172"/>
        <v>495100</v>
      </c>
      <c r="AD1441" s="46">
        <f t="shared" si="1172"/>
        <v>480350</v>
      </c>
      <c r="AE1441" s="46">
        <f t="shared" si="1172"/>
        <v>465600</v>
      </c>
      <c r="AF1441" s="46">
        <f t="shared" si="1172"/>
        <v>450850</v>
      </c>
      <c r="AG1441" s="46">
        <f t="shared" si="1172"/>
        <v>436100</v>
      </c>
      <c r="AH1441" s="46">
        <f t="shared" si="1172"/>
        <v>421350</v>
      </c>
      <c r="AI1441" s="46">
        <f t="shared" si="1172"/>
        <v>406600</v>
      </c>
      <c r="AJ1441" s="46">
        <f t="shared" si="1172"/>
        <v>394800</v>
      </c>
      <c r="AK1441" s="46">
        <f t="shared" si="1172"/>
        <v>383000</v>
      </c>
      <c r="AL1441" s="46">
        <f t="shared" si="1172"/>
        <v>371200</v>
      </c>
      <c r="AM1441" s="46">
        <f t="shared" si="1172"/>
        <v>359400</v>
      </c>
      <c r="AN1441" s="46">
        <f t="shared" si="1172"/>
        <v>317600</v>
      </c>
      <c r="AO1441" s="46">
        <f t="shared" si="1172"/>
        <v>307000</v>
      </c>
      <c r="AP1441" s="46">
        <f t="shared" si="1172"/>
        <v>296400</v>
      </c>
      <c r="AQ1441" s="46">
        <f t="shared" si="1172"/>
        <v>280800</v>
      </c>
      <c r="AR1441" s="46">
        <f t="shared" si="1172"/>
        <v>270400</v>
      </c>
      <c r="AS1441" s="47" t="s">
        <v>11</v>
      </c>
      <c r="AT1441" s="47"/>
    </row>
    <row r="1442" spans="1:46" s="446" customFormat="1" x14ac:dyDescent="0.25">
      <c r="A1442" s="380" t="s">
        <v>0</v>
      </c>
      <c r="B1442" s="26" t="s">
        <v>96</v>
      </c>
      <c r="C1442" s="26"/>
      <c r="D1442" s="332" t="s">
        <v>0</v>
      </c>
      <c r="E1442" s="466">
        <v>45448</v>
      </c>
      <c r="F1442" s="24" t="s">
        <v>266</v>
      </c>
      <c r="G1442" s="315" t="s">
        <v>1316</v>
      </c>
      <c r="H1442" s="472">
        <v>60312367</v>
      </c>
      <c r="I1442" s="472">
        <v>582041</v>
      </c>
      <c r="J1442" s="2" t="s">
        <v>1</v>
      </c>
      <c r="K1442" s="452">
        <v>335000</v>
      </c>
      <c r="L1442" s="4"/>
      <c r="M1442" s="4"/>
      <c r="N1442" s="4"/>
      <c r="O1442" s="4"/>
      <c r="P1442" s="4"/>
      <c r="Q1442" s="445">
        <v>35000</v>
      </c>
      <c r="R1442" s="445">
        <v>35000</v>
      </c>
      <c r="S1442" s="453"/>
      <c r="T1442" s="453"/>
      <c r="U1442" s="445"/>
      <c r="V1442" s="419"/>
      <c r="W1442" s="445"/>
      <c r="X1442" s="445"/>
      <c r="Y1442" s="445">
        <v>20000</v>
      </c>
      <c r="Z1442" s="513">
        <v>20000</v>
      </c>
      <c r="AA1442" s="556">
        <v>20000</v>
      </c>
      <c r="AB1442" s="445">
        <v>20000</v>
      </c>
      <c r="AC1442" s="445">
        <v>20000</v>
      </c>
      <c r="AD1442" s="445">
        <v>20000</v>
      </c>
      <c r="AE1442" s="445">
        <v>20000</v>
      </c>
      <c r="AF1442" s="445">
        <v>15000</v>
      </c>
      <c r="AG1442" s="445">
        <v>15000</v>
      </c>
      <c r="AH1442" s="445">
        <v>15000</v>
      </c>
      <c r="AI1442" s="445">
        <v>15000</v>
      </c>
      <c r="AJ1442" s="445">
        <v>15000</v>
      </c>
      <c r="AK1442" s="445">
        <v>15000</v>
      </c>
      <c r="AL1442" s="445">
        <v>15000</v>
      </c>
      <c r="AM1442" s="445">
        <v>15000</v>
      </c>
      <c r="AN1442" s="445">
        <v>15000</v>
      </c>
      <c r="AO1442" s="445">
        <v>15000</v>
      </c>
      <c r="AP1442" s="445">
        <v>15000</v>
      </c>
      <c r="AQ1442" s="445">
        <v>15000</v>
      </c>
      <c r="AR1442" s="445">
        <v>15000</v>
      </c>
      <c r="AS1442" s="2" t="s">
        <v>11</v>
      </c>
      <c r="AT1442" s="4"/>
    </row>
    <row r="1443" spans="1:46" s="446" customFormat="1" x14ac:dyDescent="0.25">
      <c r="A1443" s="400" t="s">
        <v>1356</v>
      </c>
      <c r="B1443" s="26"/>
      <c r="C1443" s="26"/>
      <c r="D1443" s="454"/>
      <c r="E1443" s="24" t="s">
        <v>12</v>
      </c>
      <c r="F1443" s="15"/>
      <c r="G1443" s="148" t="s">
        <v>1317</v>
      </c>
      <c r="H1443" s="148" t="s">
        <v>1108</v>
      </c>
      <c r="I1443" s="148"/>
      <c r="J1443" s="17" t="s">
        <v>2</v>
      </c>
      <c r="K1443" s="447">
        <v>141080.56</v>
      </c>
      <c r="L1443" s="11"/>
      <c r="M1443" s="11"/>
      <c r="N1443" s="11"/>
      <c r="O1443" s="11"/>
      <c r="P1443" s="11"/>
      <c r="Q1443" s="445">
        <v>41013</v>
      </c>
      <c r="R1443" s="445">
        <v>39525</v>
      </c>
      <c r="S1443" s="453"/>
      <c r="T1443" s="453"/>
      <c r="U1443" s="445"/>
      <c r="V1443" s="419"/>
      <c r="W1443" s="445"/>
      <c r="X1443" s="445"/>
      <c r="Y1443" s="445">
        <f>7455.56+7625</f>
        <v>15080.560000000001</v>
      </c>
      <c r="Z1443" s="513">
        <f>7125+7125</f>
        <v>14250</v>
      </c>
      <c r="AA1443" s="556">
        <f>6625+6625</f>
        <v>13250</v>
      </c>
      <c r="AB1443" s="445">
        <f>6125+6125</f>
        <v>12250</v>
      </c>
      <c r="AC1443" s="445">
        <f>5625+5625</f>
        <v>11250</v>
      </c>
      <c r="AD1443" s="445">
        <f>5125+5125</f>
        <v>10250</v>
      </c>
      <c r="AE1443" s="445">
        <f>4625+4625</f>
        <v>9250</v>
      </c>
      <c r="AF1443" s="445">
        <f>4125+4125</f>
        <v>8250</v>
      </c>
      <c r="AG1443" s="445">
        <f>3750+3750</f>
        <v>7500</v>
      </c>
      <c r="AH1443" s="445">
        <f>3375+3375</f>
        <v>6750</v>
      </c>
      <c r="AI1443" s="445">
        <f>3000+3000</f>
        <v>6000</v>
      </c>
      <c r="AJ1443" s="445">
        <f>2700+2700</f>
        <v>5400</v>
      </c>
      <c r="AK1443" s="445">
        <f>2400+2400</f>
        <v>4800</v>
      </c>
      <c r="AL1443" s="445">
        <f>2100+2100</f>
        <v>4200</v>
      </c>
      <c r="AM1443" s="445">
        <f>1800+1800</f>
        <v>3600</v>
      </c>
      <c r="AN1443" s="445">
        <f>1500+1500</f>
        <v>3000</v>
      </c>
      <c r="AO1443" s="445">
        <f>1200+1200</f>
        <v>2400</v>
      </c>
      <c r="AP1443" s="445">
        <f>900+900</f>
        <v>1800</v>
      </c>
      <c r="AQ1443" s="468">
        <f>600+600</f>
        <v>1200</v>
      </c>
      <c r="AR1443" s="468">
        <f>300+300</f>
        <v>600</v>
      </c>
      <c r="AS1443" s="17" t="s">
        <v>11</v>
      </c>
      <c r="AT1443" s="11"/>
    </row>
    <row r="1444" spans="1:46" s="450" customFormat="1" ht="13.8" thickBot="1" x14ac:dyDescent="0.3">
      <c r="A1444" s="120"/>
      <c r="B1444" s="120"/>
      <c r="C1444" s="120"/>
      <c r="D1444" s="455"/>
      <c r="E1444" s="88" t="s">
        <v>14</v>
      </c>
      <c r="F1444" s="88" t="s">
        <v>406</v>
      </c>
      <c r="G1444" s="149" t="s">
        <v>1140</v>
      </c>
      <c r="H1444" s="143"/>
      <c r="I1444" s="143"/>
      <c r="J1444" s="450" t="s">
        <v>5</v>
      </c>
      <c r="K1444" s="451">
        <f>K1443+K1442</f>
        <v>476080.56</v>
      </c>
      <c r="L1444" s="43"/>
      <c r="M1444" s="43"/>
      <c r="N1444" s="43"/>
      <c r="O1444" s="43"/>
      <c r="P1444" s="43"/>
      <c r="Q1444" s="413">
        <f>Q1443+Q1442</f>
        <v>76013</v>
      </c>
      <c r="R1444" s="413">
        <f>R1443+R1442</f>
        <v>74525</v>
      </c>
      <c r="S1444" s="43">
        <f>S1443+S1442</f>
        <v>0</v>
      </c>
      <c r="T1444" s="43"/>
      <c r="U1444" s="413">
        <f t="shared" ref="U1444" si="1173">U1443+U1442</f>
        <v>0</v>
      </c>
      <c r="V1444" s="412"/>
      <c r="W1444" s="412"/>
      <c r="X1444" s="412"/>
      <c r="Y1444" s="412">
        <f t="shared" ref="Y1444:AR1444" si="1174">Y1443+Y1442</f>
        <v>35080.559999999998</v>
      </c>
      <c r="Z1444" s="510">
        <f t="shared" si="1174"/>
        <v>34250</v>
      </c>
      <c r="AA1444" s="553">
        <f t="shared" si="1174"/>
        <v>33250</v>
      </c>
      <c r="AB1444" s="412">
        <f t="shared" si="1174"/>
        <v>32250</v>
      </c>
      <c r="AC1444" s="412">
        <f t="shared" si="1174"/>
        <v>31250</v>
      </c>
      <c r="AD1444" s="412">
        <f t="shared" si="1174"/>
        <v>30250</v>
      </c>
      <c r="AE1444" s="412">
        <f t="shared" si="1174"/>
        <v>29250</v>
      </c>
      <c r="AF1444" s="412">
        <f t="shared" si="1174"/>
        <v>23250</v>
      </c>
      <c r="AG1444" s="412">
        <f t="shared" si="1174"/>
        <v>22500</v>
      </c>
      <c r="AH1444" s="412">
        <f t="shared" si="1174"/>
        <v>21750</v>
      </c>
      <c r="AI1444" s="412">
        <f t="shared" si="1174"/>
        <v>21000</v>
      </c>
      <c r="AJ1444" s="412">
        <f t="shared" si="1174"/>
        <v>20400</v>
      </c>
      <c r="AK1444" s="412">
        <f t="shared" si="1174"/>
        <v>19800</v>
      </c>
      <c r="AL1444" s="412">
        <f t="shared" si="1174"/>
        <v>19200</v>
      </c>
      <c r="AM1444" s="412">
        <f t="shared" si="1174"/>
        <v>18600</v>
      </c>
      <c r="AN1444" s="412">
        <f t="shared" si="1174"/>
        <v>18000</v>
      </c>
      <c r="AO1444" s="412">
        <f t="shared" si="1174"/>
        <v>17400</v>
      </c>
      <c r="AP1444" s="412">
        <f t="shared" si="1174"/>
        <v>16800</v>
      </c>
      <c r="AQ1444" s="412">
        <f t="shared" si="1174"/>
        <v>16200</v>
      </c>
      <c r="AR1444" s="412">
        <f t="shared" si="1174"/>
        <v>15600</v>
      </c>
      <c r="AS1444" s="41" t="s">
        <v>11</v>
      </c>
      <c r="AT1444" s="43"/>
    </row>
    <row r="1445" spans="1:46" s="446" customFormat="1" x14ac:dyDescent="0.25">
      <c r="A1445" s="380" t="s">
        <v>0</v>
      </c>
      <c r="B1445" s="26" t="s">
        <v>96</v>
      </c>
      <c r="C1445" s="26"/>
      <c r="D1445" s="332" t="s">
        <v>0</v>
      </c>
      <c r="E1445" s="466">
        <v>45448</v>
      </c>
      <c r="F1445" s="24" t="s">
        <v>266</v>
      </c>
      <c r="G1445" s="315" t="s">
        <v>1318</v>
      </c>
      <c r="H1445" s="472">
        <v>60312367</v>
      </c>
      <c r="I1445" s="472">
        <v>582038</v>
      </c>
      <c r="J1445" s="2" t="s">
        <v>1</v>
      </c>
      <c r="K1445" s="452">
        <v>540000</v>
      </c>
      <c r="L1445" s="4"/>
      <c r="M1445" s="4"/>
      <c r="N1445" s="4"/>
      <c r="O1445" s="4"/>
      <c r="P1445" s="4"/>
      <c r="Q1445" s="445">
        <v>35000</v>
      </c>
      <c r="R1445" s="445">
        <v>35000</v>
      </c>
      <c r="S1445" s="453"/>
      <c r="T1445" s="453"/>
      <c r="U1445" s="445"/>
      <c r="V1445" s="419"/>
      <c r="W1445" s="445"/>
      <c r="X1445" s="445"/>
      <c r="Y1445" s="445">
        <v>40000</v>
      </c>
      <c r="Z1445" s="513">
        <v>40000</v>
      </c>
      <c r="AA1445" s="556">
        <v>40000</v>
      </c>
      <c r="AB1445" s="445">
        <v>35000</v>
      </c>
      <c r="AC1445" s="445">
        <v>35000</v>
      </c>
      <c r="AD1445" s="445">
        <v>35000</v>
      </c>
      <c r="AE1445" s="445">
        <v>35000</v>
      </c>
      <c r="AF1445" s="445">
        <v>35000</v>
      </c>
      <c r="AG1445" s="445">
        <v>35000</v>
      </c>
      <c r="AH1445" s="445">
        <v>35000</v>
      </c>
      <c r="AI1445" s="445">
        <v>35000</v>
      </c>
      <c r="AJ1445" s="445">
        <v>35000</v>
      </c>
      <c r="AK1445" s="445">
        <v>35000</v>
      </c>
      <c r="AL1445" s="445">
        <v>35000</v>
      </c>
      <c r="AM1445" s="445">
        <v>35000</v>
      </c>
      <c r="AN1445" s="2" t="s">
        <v>11</v>
      </c>
      <c r="AO1445" s="445"/>
      <c r="AP1445" s="445"/>
      <c r="AQ1445" s="445"/>
      <c r="AR1445" s="445"/>
      <c r="AS1445" s="445"/>
      <c r="AT1445" s="4"/>
    </row>
    <row r="1446" spans="1:46" s="446" customFormat="1" x14ac:dyDescent="0.25">
      <c r="A1446" s="400" t="s">
        <v>1357</v>
      </c>
      <c r="B1446" s="26"/>
      <c r="C1446" s="26"/>
      <c r="D1446" s="454"/>
      <c r="E1446" s="24" t="s">
        <v>12</v>
      </c>
      <c r="F1446" s="15"/>
      <c r="G1446" s="148" t="s">
        <v>1319</v>
      </c>
      <c r="H1446" s="148" t="s">
        <v>1107</v>
      </c>
      <c r="I1446" s="148"/>
      <c r="J1446" s="17" t="s">
        <v>2</v>
      </c>
      <c r="K1446" s="447">
        <v>188469.44</v>
      </c>
      <c r="L1446" s="11"/>
      <c r="M1446" s="11"/>
      <c r="N1446" s="11"/>
      <c r="O1446" s="11"/>
      <c r="P1446" s="11"/>
      <c r="Q1446" s="445">
        <v>41013</v>
      </c>
      <c r="R1446" s="445">
        <v>39525</v>
      </c>
      <c r="S1446" s="453"/>
      <c r="T1446" s="453"/>
      <c r="U1446" s="445"/>
      <c r="V1446" s="419"/>
      <c r="W1446" s="445"/>
      <c r="X1446" s="445"/>
      <c r="Y1446" s="445">
        <f>12344.44+12625</f>
        <v>24969.440000000002</v>
      </c>
      <c r="Z1446" s="513">
        <f>11625+11625</f>
        <v>23250</v>
      </c>
      <c r="AA1446" s="556">
        <f>10625+10625</f>
        <v>21250</v>
      </c>
      <c r="AB1446" s="445">
        <f>9625+9625</f>
        <v>19250</v>
      </c>
      <c r="AC1446" s="445">
        <f>8750+8750</f>
        <v>17500</v>
      </c>
      <c r="AD1446" s="445">
        <f>7875+7875</f>
        <v>15750</v>
      </c>
      <c r="AE1446" s="445">
        <f>7000+7000</f>
        <v>14000</v>
      </c>
      <c r="AF1446" s="445">
        <f>6125+6125</f>
        <v>12250</v>
      </c>
      <c r="AG1446" s="445">
        <f>5250+5250</f>
        <v>10500</v>
      </c>
      <c r="AH1446" s="445">
        <f>4375+4375</f>
        <v>8750</v>
      </c>
      <c r="AI1446" s="445">
        <f>3500+3500</f>
        <v>7000</v>
      </c>
      <c r="AJ1446" s="445">
        <f>2800+2800</f>
        <v>5600</v>
      </c>
      <c r="AK1446" s="445">
        <f>2100+2100</f>
        <v>4200</v>
      </c>
      <c r="AL1446" s="445">
        <f>1400+1400</f>
        <v>2800</v>
      </c>
      <c r="AM1446" s="445">
        <f>700+700</f>
        <v>1400</v>
      </c>
      <c r="AN1446" s="17" t="s">
        <v>11</v>
      </c>
      <c r="AO1446" s="445"/>
      <c r="AP1446" s="445"/>
      <c r="AQ1446" s="445"/>
      <c r="AR1446" s="445"/>
      <c r="AS1446" s="445"/>
      <c r="AT1446" s="11"/>
    </row>
    <row r="1447" spans="1:46" s="450" customFormat="1" ht="13.8" thickBot="1" x14ac:dyDescent="0.3">
      <c r="A1447" s="120"/>
      <c r="B1447" s="120"/>
      <c r="C1447" s="120"/>
      <c r="D1447" s="455"/>
      <c r="E1447" s="88" t="s">
        <v>14</v>
      </c>
      <c r="F1447" s="88" t="s">
        <v>406</v>
      </c>
      <c r="G1447" s="149" t="s">
        <v>1145</v>
      </c>
      <c r="H1447" s="143"/>
      <c r="I1447" s="143"/>
      <c r="J1447" s="450" t="s">
        <v>5</v>
      </c>
      <c r="K1447" s="451">
        <f>K1446+K1445</f>
        <v>728469.44</v>
      </c>
      <c r="L1447" s="43"/>
      <c r="M1447" s="43"/>
      <c r="N1447" s="43"/>
      <c r="O1447" s="43"/>
      <c r="P1447" s="43"/>
      <c r="Q1447" s="413">
        <f>Q1446+Q1445</f>
        <v>76013</v>
      </c>
      <c r="R1447" s="413">
        <f>R1446+R1445</f>
        <v>74525</v>
      </c>
      <c r="S1447" s="43">
        <f>S1446+S1445</f>
        <v>0</v>
      </c>
      <c r="T1447" s="43"/>
      <c r="U1447" s="413">
        <f t="shared" ref="U1447" si="1175">U1446+U1445</f>
        <v>0</v>
      </c>
      <c r="V1447" s="412"/>
      <c r="W1447" s="412"/>
      <c r="X1447" s="412"/>
      <c r="Y1447" s="412">
        <f t="shared" ref="Y1447:AM1447" si="1176">Y1446+Y1445</f>
        <v>64969.440000000002</v>
      </c>
      <c r="Z1447" s="510">
        <f t="shared" si="1176"/>
        <v>63250</v>
      </c>
      <c r="AA1447" s="553">
        <f t="shared" si="1176"/>
        <v>61250</v>
      </c>
      <c r="AB1447" s="412">
        <f t="shared" si="1176"/>
        <v>54250</v>
      </c>
      <c r="AC1447" s="412">
        <f t="shared" si="1176"/>
        <v>52500</v>
      </c>
      <c r="AD1447" s="412">
        <f t="shared" si="1176"/>
        <v>50750</v>
      </c>
      <c r="AE1447" s="412">
        <f t="shared" si="1176"/>
        <v>49000</v>
      </c>
      <c r="AF1447" s="412">
        <f t="shared" si="1176"/>
        <v>47250</v>
      </c>
      <c r="AG1447" s="412">
        <f t="shared" si="1176"/>
        <v>45500</v>
      </c>
      <c r="AH1447" s="412">
        <f t="shared" si="1176"/>
        <v>43750</v>
      </c>
      <c r="AI1447" s="412">
        <f t="shared" si="1176"/>
        <v>42000</v>
      </c>
      <c r="AJ1447" s="412">
        <f t="shared" si="1176"/>
        <v>40600</v>
      </c>
      <c r="AK1447" s="412">
        <f t="shared" si="1176"/>
        <v>39200</v>
      </c>
      <c r="AL1447" s="412">
        <f t="shared" si="1176"/>
        <v>37800</v>
      </c>
      <c r="AM1447" s="412">
        <f t="shared" si="1176"/>
        <v>36400</v>
      </c>
      <c r="AN1447" s="41" t="s">
        <v>11</v>
      </c>
      <c r="AO1447" s="412"/>
      <c r="AP1447" s="412"/>
      <c r="AQ1447" s="412"/>
      <c r="AR1447" s="412"/>
      <c r="AS1447" s="412"/>
      <c r="AT1447" s="43"/>
    </row>
    <row r="1448" spans="1:46" s="446" customFormat="1" x14ac:dyDescent="0.25">
      <c r="A1448" s="380" t="s">
        <v>0</v>
      </c>
      <c r="B1448" s="26" t="s">
        <v>96</v>
      </c>
      <c r="C1448" s="26"/>
      <c r="D1448" s="332" t="s">
        <v>0</v>
      </c>
      <c r="E1448" s="466">
        <v>45448</v>
      </c>
      <c r="F1448" s="24" t="s">
        <v>266</v>
      </c>
      <c r="G1448" s="315" t="s">
        <v>1320</v>
      </c>
      <c r="H1448" s="472">
        <v>60312367</v>
      </c>
      <c r="I1448" s="472">
        <v>583000</v>
      </c>
      <c r="J1448" s="2" t="s">
        <v>1</v>
      </c>
      <c r="K1448" s="452">
        <v>665000</v>
      </c>
      <c r="L1448" s="4"/>
      <c r="M1448" s="4"/>
      <c r="N1448" s="4"/>
      <c r="O1448" s="4"/>
      <c r="P1448" s="4"/>
      <c r="Q1448" s="445">
        <v>35000</v>
      </c>
      <c r="R1448" s="445">
        <v>35000</v>
      </c>
      <c r="S1448" s="453"/>
      <c r="T1448" s="453"/>
      <c r="U1448" s="445"/>
      <c r="V1448" s="419"/>
      <c r="W1448" s="445"/>
      <c r="X1448" s="445"/>
      <c r="Y1448" s="445">
        <v>35000</v>
      </c>
      <c r="Z1448" s="513">
        <v>35000</v>
      </c>
      <c r="AA1448" s="556">
        <v>35000</v>
      </c>
      <c r="AB1448" s="445">
        <v>35000</v>
      </c>
      <c r="AC1448" s="445">
        <v>35000</v>
      </c>
      <c r="AD1448" s="445">
        <v>35000</v>
      </c>
      <c r="AE1448" s="445">
        <v>35000</v>
      </c>
      <c r="AF1448" s="445">
        <v>35000</v>
      </c>
      <c r="AG1448" s="445">
        <v>35000</v>
      </c>
      <c r="AH1448" s="445">
        <v>35000</v>
      </c>
      <c r="AI1448" s="445">
        <v>35000</v>
      </c>
      <c r="AJ1448" s="445">
        <v>35000</v>
      </c>
      <c r="AK1448" s="445">
        <v>35000</v>
      </c>
      <c r="AL1448" s="445">
        <v>30000</v>
      </c>
      <c r="AM1448" s="445">
        <v>30000</v>
      </c>
      <c r="AN1448" s="445">
        <v>30000</v>
      </c>
      <c r="AO1448" s="445">
        <v>30000</v>
      </c>
      <c r="AP1448" s="445">
        <v>30000</v>
      </c>
      <c r="AQ1448" s="445">
        <v>30000</v>
      </c>
      <c r="AR1448" s="445">
        <v>30000</v>
      </c>
      <c r="AS1448" s="2" t="s">
        <v>11</v>
      </c>
      <c r="AT1448" s="4"/>
    </row>
    <row r="1449" spans="1:46" s="446" customFormat="1" x14ac:dyDescent="0.25">
      <c r="A1449" s="400" t="s">
        <v>1358</v>
      </c>
      <c r="B1449" s="26"/>
      <c r="C1449" s="26"/>
      <c r="D1449" s="454"/>
      <c r="E1449" s="24" t="s">
        <v>12</v>
      </c>
      <c r="F1449" s="15"/>
      <c r="G1449" s="148" t="s">
        <v>1321</v>
      </c>
      <c r="H1449" s="148" t="s">
        <v>1108</v>
      </c>
      <c r="I1449" s="148"/>
      <c r="J1449" s="17" t="s">
        <v>2</v>
      </c>
      <c r="K1449" s="447">
        <v>289115.56</v>
      </c>
      <c r="L1449" s="11"/>
      <c r="M1449" s="11"/>
      <c r="N1449" s="11"/>
      <c r="O1449" s="11"/>
      <c r="P1449" s="11"/>
      <c r="Q1449" s="445">
        <v>41013</v>
      </c>
      <c r="R1449" s="445">
        <v>39525</v>
      </c>
      <c r="S1449" s="453"/>
      <c r="T1449" s="453"/>
      <c r="U1449" s="445"/>
      <c r="V1449" s="419"/>
      <c r="W1449" s="445"/>
      <c r="X1449" s="445"/>
      <c r="Y1449" s="445">
        <f>14715.56+15050</f>
        <v>29765.559999999998</v>
      </c>
      <c r="Z1449" s="513">
        <f>14175+14175</f>
        <v>28350</v>
      </c>
      <c r="AA1449" s="556">
        <f>13300+13300</f>
        <v>26600</v>
      </c>
      <c r="AB1449" s="445">
        <f>12425+12425</f>
        <v>24850</v>
      </c>
      <c r="AC1449" s="445">
        <f>11550+11550</f>
        <v>23100</v>
      </c>
      <c r="AD1449" s="445">
        <f>10675+10675</f>
        <v>21350</v>
      </c>
      <c r="AE1449" s="445">
        <f>9800+9800</f>
        <v>19600</v>
      </c>
      <c r="AF1449" s="445">
        <f>8925+8925</f>
        <v>17850</v>
      </c>
      <c r="AG1449" s="445">
        <f>8050+8050</f>
        <v>16100</v>
      </c>
      <c r="AH1449" s="445">
        <f>7175+7175</f>
        <v>14350</v>
      </c>
      <c r="AI1449" s="445">
        <f>6300+6300</f>
        <v>12600</v>
      </c>
      <c r="AJ1449" s="445">
        <f>5600+5600</f>
        <v>11200</v>
      </c>
      <c r="AK1449" s="445">
        <f>4900+4900</f>
        <v>9800</v>
      </c>
      <c r="AL1449" s="445">
        <f>4200+4200</f>
        <v>8400</v>
      </c>
      <c r="AM1449" s="445">
        <f>3600+3600</f>
        <v>7200</v>
      </c>
      <c r="AN1449" s="445">
        <f>3000+3000</f>
        <v>6000</v>
      </c>
      <c r="AO1449" s="445">
        <f>2400+2400</f>
        <v>4800</v>
      </c>
      <c r="AP1449" s="445">
        <f>1800+1800</f>
        <v>3600</v>
      </c>
      <c r="AQ1449" s="468">
        <f>1200+1200</f>
        <v>2400</v>
      </c>
      <c r="AR1449" s="468">
        <f>600+600</f>
        <v>1200</v>
      </c>
      <c r="AS1449" s="17" t="s">
        <v>11</v>
      </c>
      <c r="AT1449" s="11"/>
    </row>
    <row r="1450" spans="1:46" s="450" customFormat="1" ht="13.8" thickBot="1" x14ac:dyDescent="0.3">
      <c r="A1450" s="120"/>
      <c r="B1450" s="120"/>
      <c r="C1450" s="120"/>
      <c r="D1450" s="455"/>
      <c r="E1450" s="88" t="s">
        <v>14</v>
      </c>
      <c r="F1450" s="88" t="s">
        <v>406</v>
      </c>
      <c r="G1450" s="149" t="s">
        <v>1145</v>
      </c>
      <c r="H1450" s="143"/>
      <c r="I1450" s="143"/>
      <c r="J1450" s="450" t="s">
        <v>5</v>
      </c>
      <c r="K1450" s="451">
        <f>K1449+K1448</f>
        <v>954115.56</v>
      </c>
      <c r="L1450" s="43"/>
      <c r="M1450" s="43"/>
      <c r="N1450" s="43"/>
      <c r="O1450" s="43"/>
      <c r="P1450" s="43"/>
      <c r="Q1450" s="413">
        <f>Q1449+Q1448</f>
        <v>76013</v>
      </c>
      <c r="R1450" s="413">
        <f>R1449+R1448</f>
        <v>74525</v>
      </c>
      <c r="S1450" s="43">
        <f>S1449+S1448</f>
        <v>0</v>
      </c>
      <c r="T1450" s="43"/>
      <c r="U1450" s="413">
        <f t="shared" ref="U1450" si="1177">U1449+U1448</f>
        <v>0</v>
      </c>
      <c r="V1450" s="412"/>
      <c r="W1450" s="412"/>
      <c r="X1450" s="412"/>
      <c r="Y1450" s="412">
        <f t="shared" ref="Y1450:AR1450" si="1178">Y1449+Y1448</f>
        <v>64765.56</v>
      </c>
      <c r="Z1450" s="510">
        <f t="shared" si="1178"/>
        <v>63350</v>
      </c>
      <c r="AA1450" s="553">
        <f t="shared" si="1178"/>
        <v>61600</v>
      </c>
      <c r="AB1450" s="412">
        <f t="shared" si="1178"/>
        <v>59850</v>
      </c>
      <c r="AC1450" s="412">
        <f t="shared" si="1178"/>
        <v>58100</v>
      </c>
      <c r="AD1450" s="412">
        <f t="shared" si="1178"/>
        <v>56350</v>
      </c>
      <c r="AE1450" s="412">
        <f t="shared" si="1178"/>
        <v>54600</v>
      </c>
      <c r="AF1450" s="412">
        <f t="shared" si="1178"/>
        <v>52850</v>
      </c>
      <c r="AG1450" s="412">
        <f t="shared" si="1178"/>
        <v>51100</v>
      </c>
      <c r="AH1450" s="412">
        <f t="shared" si="1178"/>
        <v>49350</v>
      </c>
      <c r="AI1450" s="412">
        <f t="shared" si="1178"/>
        <v>47600</v>
      </c>
      <c r="AJ1450" s="412">
        <f t="shared" si="1178"/>
        <v>46200</v>
      </c>
      <c r="AK1450" s="412">
        <f t="shared" si="1178"/>
        <v>44800</v>
      </c>
      <c r="AL1450" s="412">
        <f t="shared" si="1178"/>
        <v>38400</v>
      </c>
      <c r="AM1450" s="412">
        <f t="shared" si="1178"/>
        <v>37200</v>
      </c>
      <c r="AN1450" s="412">
        <f t="shared" si="1178"/>
        <v>36000</v>
      </c>
      <c r="AO1450" s="412">
        <f t="shared" si="1178"/>
        <v>34800</v>
      </c>
      <c r="AP1450" s="412">
        <f t="shared" si="1178"/>
        <v>33600</v>
      </c>
      <c r="AQ1450" s="412">
        <f t="shared" si="1178"/>
        <v>32400</v>
      </c>
      <c r="AR1450" s="412">
        <f t="shared" si="1178"/>
        <v>31200</v>
      </c>
      <c r="AS1450" s="41" t="s">
        <v>11</v>
      </c>
      <c r="AT1450" s="43"/>
    </row>
    <row r="1451" spans="1:46" s="446" customFormat="1" x14ac:dyDescent="0.25">
      <c r="A1451" s="380" t="s">
        <v>0</v>
      </c>
      <c r="B1451" s="26" t="s">
        <v>96</v>
      </c>
      <c r="C1451" s="26"/>
      <c r="D1451" s="332" t="s">
        <v>0</v>
      </c>
      <c r="E1451" s="466">
        <v>45448</v>
      </c>
      <c r="F1451" s="24" t="s">
        <v>266</v>
      </c>
      <c r="G1451" s="315" t="s">
        <v>1322</v>
      </c>
      <c r="H1451" s="472">
        <v>60312367</v>
      </c>
      <c r="I1451" s="472">
        <v>583001</v>
      </c>
      <c r="J1451" s="2" t="s">
        <v>1</v>
      </c>
      <c r="K1451" s="452">
        <v>50000</v>
      </c>
      <c r="L1451" s="4"/>
      <c r="M1451" s="4"/>
      <c r="N1451" s="4"/>
      <c r="O1451" s="4"/>
      <c r="P1451" s="4"/>
      <c r="Q1451" s="445">
        <v>35000</v>
      </c>
      <c r="R1451" s="445">
        <v>35000</v>
      </c>
      <c r="S1451" s="453"/>
      <c r="T1451" s="453"/>
      <c r="U1451" s="445"/>
      <c r="V1451" s="419"/>
      <c r="W1451" s="445"/>
      <c r="X1451" s="445"/>
      <c r="Y1451" s="445">
        <v>10000</v>
      </c>
      <c r="Z1451" s="513">
        <v>10000</v>
      </c>
      <c r="AA1451" s="556">
        <v>10000</v>
      </c>
      <c r="AB1451" s="445">
        <v>10000</v>
      </c>
      <c r="AC1451" s="445">
        <v>10000</v>
      </c>
      <c r="AD1451" s="2" t="s">
        <v>11</v>
      </c>
      <c r="AE1451" s="445"/>
      <c r="AF1451" s="445"/>
      <c r="AG1451" s="445"/>
      <c r="AH1451" s="445"/>
      <c r="AI1451" s="445"/>
      <c r="AJ1451" s="445"/>
      <c r="AK1451" s="445"/>
      <c r="AL1451" s="445"/>
      <c r="AM1451" s="445"/>
      <c r="AN1451" s="445"/>
      <c r="AO1451" s="445"/>
      <c r="AP1451" s="445"/>
      <c r="AQ1451" s="445"/>
      <c r="AR1451" s="445"/>
      <c r="AS1451" s="445"/>
      <c r="AT1451" s="445"/>
    </row>
    <row r="1452" spans="1:46" s="446" customFormat="1" x14ac:dyDescent="0.25">
      <c r="A1452" s="400" t="s">
        <v>1359</v>
      </c>
      <c r="B1452" s="26"/>
      <c r="C1452" s="26"/>
      <c r="D1452" s="454"/>
      <c r="E1452" s="24" t="s">
        <v>12</v>
      </c>
      <c r="F1452" s="15"/>
      <c r="G1452" s="148" t="s">
        <v>1323</v>
      </c>
      <c r="H1452" s="148" t="s">
        <v>1106</v>
      </c>
      <c r="I1452" s="148"/>
      <c r="J1452" s="17" t="s">
        <v>2</v>
      </c>
      <c r="K1452" s="447">
        <v>7472.22</v>
      </c>
      <c r="L1452" s="11"/>
      <c r="M1452" s="11"/>
      <c r="N1452" s="11"/>
      <c r="O1452" s="11"/>
      <c r="P1452" s="11"/>
      <c r="Q1452" s="445">
        <v>41013</v>
      </c>
      <c r="R1452" s="445">
        <v>39525</v>
      </c>
      <c r="S1452" s="453"/>
      <c r="T1452" s="453"/>
      <c r="U1452" s="445"/>
      <c r="V1452" s="419"/>
      <c r="W1452" s="445"/>
      <c r="X1452" s="445"/>
      <c r="Y1452" s="445">
        <f>1222.22+1250</f>
        <v>2472.2200000000003</v>
      </c>
      <c r="Z1452" s="513">
        <f>1000+1000</f>
        <v>2000</v>
      </c>
      <c r="AA1452" s="556">
        <f>750+750</f>
        <v>1500</v>
      </c>
      <c r="AB1452" s="445">
        <f>500+500</f>
        <v>1000</v>
      </c>
      <c r="AC1452" s="445">
        <f>250+250</f>
        <v>500</v>
      </c>
      <c r="AD1452" s="17" t="s">
        <v>11</v>
      </c>
      <c r="AE1452" s="445"/>
      <c r="AF1452" s="445"/>
      <c r="AG1452" s="445"/>
      <c r="AH1452" s="445"/>
      <c r="AI1452" s="445"/>
      <c r="AJ1452" s="445"/>
      <c r="AK1452" s="445"/>
      <c r="AL1452" s="445"/>
      <c r="AM1452" s="445"/>
      <c r="AN1452" s="445"/>
      <c r="AO1452" s="445"/>
      <c r="AP1452" s="445"/>
      <c r="AQ1452" s="445"/>
      <c r="AR1452" s="445"/>
      <c r="AS1452" s="445"/>
      <c r="AT1452" s="445"/>
    </row>
    <row r="1453" spans="1:46" s="450" customFormat="1" ht="13.8" thickBot="1" x14ac:dyDescent="0.3">
      <c r="A1453" s="120"/>
      <c r="B1453" s="120"/>
      <c r="C1453" s="120"/>
      <c r="D1453" s="455"/>
      <c r="E1453" s="88" t="s">
        <v>14</v>
      </c>
      <c r="F1453" s="88" t="s">
        <v>406</v>
      </c>
      <c r="G1453" s="149"/>
      <c r="H1453" s="143"/>
      <c r="I1453" s="143"/>
      <c r="J1453" s="450" t="s">
        <v>5</v>
      </c>
      <c r="K1453" s="451">
        <f>K1452+K1451</f>
        <v>57472.22</v>
      </c>
      <c r="L1453" s="43"/>
      <c r="M1453" s="43"/>
      <c r="N1453" s="43"/>
      <c r="O1453" s="43"/>
      <c r="P1453" s="43"/>
      <c r="Q1453" s="413">
        <f>Q1452+Q1451</f>
        <v>76013</v>
      </c>
      <c r="R1453" s="413">
        <f>R1452+R1451</f>
        <v>74525</v>
      </c>
      <c r="S1453" s="43">
        <f>S1452+S1451</f>
        <v>0</v>
      </c>
      <c r="T1453" s="43"/>
      <c r="U1453" s="413">
        <f t="shared" ref="U1453" si="1179">U1452+U1451</f>
        <v>0</v>
      </c>
      <c r="V1453" s="412"/>
      <c r="W1453" s="412"/>
      <c r="X1453" s="412"/>
      <c r="Y1453" s="412">
        <f t="shared" ref="Y1453:AC1453" si="1180">Y1452+Y1451</f>
        <v>12472.220000000001</v>
      </c>
      <c r="Z1453" s="510">
        <f t="shared" si="1180"/>
        <v>12000</v>
      </c>
      <c r="AA1453" s="553">
        <f t="shared" si="1180"/>
        <v>11500</v>
      </c>
      <c r="AB1453" s="412">
        <f t="shared" si="1180"/>
        <v>11000</v>
      </c>
      <c r="AC1453" s="412">
        <f t="shared" si="1180"/>
        <v>10500</v>
      </c>
      <c r="AD1453" s="41" t="s">
        <v>11</v>
      </c>
      <c r="AE1453" s="412"/>
      <c r="AF1453" s="412"/>
      <c r="AG1453" s="412"/>
      <c r="AH1453" s="412"/>
      <c r="AI1453" s="412"/>
      <c r="AJ1453" s="412"/>
      <c r="AK1453" s="412"/>
      <c r="AL1453" s="412"/>
      <c r="AM1453" s="412"/>
      <c r="AN1453" s="412"/>
      <c r="AO1453" s="412"/>
      <c r="AP1453" s="412"/>
      <c r="AQ1453" s="412"/>
      <c r="AR1453" s="412"/>
      <c r="AS1453" s="412"/>
      <c r="AT1453" s="412"/>
    </row>
    <row r="1454" spans="1:46" s="446" customFormat="1" x14ac:dyDescent="0.25">
      <c r="A1454" s="380" t="s">
        <v>0</v>
      </c>
      <c r="B1454" s="26" t="s">
        <v>96</v>
      </c>
      <c r="C1454" s="26"/>
      <c r="D1454" s="332" t="s">
        <v>0</v>
      </c>
      <c r="E1454" s="466">
        <v>45448</v>
      </c>
      <c r="F1454" s="24" t="s">
        <v>266</v>
      </c>
      <c r="G1454" s="315" t="s">
        <v>1324</v>
      </c>
      <c r="H1454" s="472">
        <v>60312367</v>
      </c>
      <c r="I1454" s="472">
        <v>582033</v>
      </c>
      <c r="J1454" s="2" t="s">
        <v>1</v>
      </c>
      <c r="K1454" s="452">
        <v>950000</v>
      </c>
      <c r="L1454" s="4"/>
      <c r="M1454" s="4"/>
      <c r="N1454" s="4"/>
      <c r="O1454" s="4"/>
      <c r="P1454" s="4"/>
      <c r="Q1454" s="445">
        <v>35000</v>
      </c>
      <c r="R1454" s="445">
        <v>35000</v>
      </c>
      <c r="S1454" s="453"/>
      <c r="T1454" s="453"/>
      <c r="U1454" s="445"/>
      <c r="V1454" s="419"/>
      <c r="W1454" s="445"/>
      <c r="X1454" s="445"/>
      <c r="Y1454" s="445">
        <v>50000</v>
      </c>
      <c r="Z1454" s="513">
        <v>50000</v>
      </c>
      <c r="AA1454" s="556">
        <v>50000</v>
      </c>
      <c r="AB1454" s="445">
        <v>50000</v>
      </c>
      <c r="AC1454" s="445">
        <v>50000</v>
      </c>
      <c r="AD1454" s="445">
        <v>50000</v>
      </c>
      <c r="AE1454" s="445">
        <v>50000</v>
      </c>
      <c r="AF1454" s="445">
        <v>50000</v>
      </c>
      <c r="AG1454" s="445">
        <v>50000</v>
      </c>
      <c r="AH1454" s="445">
        <v>50000</v>
      </c>
      <c r="AI1454" s="445">
        <v>45000</v>
      </c>
      <c r="AJ1454" s="445">
        <v>45000</v>
      </c>
      <c r="AK1454" s="445">
        <v>45000</v>
      </c>
      <c r="AL1454" s="445">
        <v>45000</v>
      </c>
      <c r="AM1454" s="445">
        <v>45000</v>
      </c>
      <c r="AN1454" s="445">
        <v>45000</v>
      </c>
      <c r="AO1454" s="445">
        <v>45000</v>
      </c>
      <c r="AP1454" s="445">
        <v>45000</v>
      </c>
      <c r="AQ1454" s="445">
        <v>45000</v>
      </c>
      <c r="AR1454" s="445">
        <v>45000</v>
      </c>
      <c r="AS1454" s="2" t="s">
        <v>11</v>
      </c>
      <c r="AT1454" s="4"/>
    </row>
    <row r="1455" spans="1:46" s="446" customFormat="1" x14ac:dyDescent="0.25">
      <c r="A1455" s="400" t="s">
        <v>1360</v>
      </c>
      <c r="B1455" s="26"/>
      <c r="C1455" s="26"/>
      <c r="D1455" s="454"/>
      <c r="E1455" s="24" t="s">
        <v>12</v>
      </c>
      <c r="F1455" s="15"/>
      <c r="G1455" s="148" t="s">
        <v>1325</v>
      </c>
      <c r="H1455" s="148" t="s">
        <v>1108</v>
      </c>
      <c r="I1455" s="148"/>
      <c r="J1455" s="17" t="s">
        <v>2</v>
      </c>
      <c r="K1455" s="447">
        <v>416022.22</v>
      </c>
      <c r="L1455" s="11"/>
      <c r="M1455" s="11"/>
      <c r="N1455" s="11"/>
      <c r="O1455" s="11"/>
      <c r="P1455" s="11"/>
      <c r="Q1455" s="445">
        <v>41013</v>
      </c>
      <c r="R1455" s="445">
        <v>39525</v>
      </c>
      <c r="S1455" s="453"/>
      <c r="T1455" s="453"/>
      <c r="U1455" s="445"/>
      <c r="V1455" s="419"/>
      <c r="W1455" s="445"/>
      <c r="X1455" s="445"/>
      <c r="Y1455" s="445">
        <f>21022.22+21500</f>
        <v>42522.22</v>
      </c>
      <c r="Z1455" s="513">
        <f>20250+20250</f>
        <v>40500</v>
      </c>
      <c r="AA1455" s="556">
        <f>19000+19000</f>
        <v>38000</v>
      </c>
      <c r="AB1455" s="445">
        <f>17750+17750</f>
        <v>35500</v>
      </c>
      <c r="AC1455" s="445">
        <f>16500+16500</f>
        <v>33000</v>
      </c>
      <c r="AD1455" s="445">
        <f>15250+15250</f>
        <v>30500</v>
      </c>
      <c r="AE1455" s="445">
        <f>14000+14000</f>
        <v>28000</v>
      </c>
      <c r="AF1455" s="445">
        <f>12750+12750</f>
        <v>25500</v>
      </c>
      <c r="AG1455" s="445">
        <f>11500+11500</f>
        <v>23000</v>
      </c>
      <c r="AH1455" s="445">
        <f>10250+10250</f>
        <v>20500</v>
      </c>
      <c r="AI1455" s="445">
        <f>9000+9000</f>
        <v>18000</v>
      </c>
      <c r="AJ1455" s="445">
        <f>8100+8100</f>
        <v>16200</v>
      </c>
      <c r="AK1455" s="445">
        <f>7200+7200</f>
        <v>14400</v>
      </c>
      <c r="AL1455" s="445">
        <f>6300+6300</f>
        <v>12600</v>
      </c>
      <c r="AM1455" s="445">
        <f>5400+5400</f>
        <v>10800</v>
      </c>
      <c r="AN1455" s="445">
        <f>4500+4500</f>
        <v>9000</v>
      </c>
      <c r="AO1455" s="445">
        <f>3600+3600</f>
        <v>7200</v>
      </c>
      <c r="AP1455" s="445">
        <f>2700+2700</f>
        <v>5400</v>
      </c>
      <c r="AQ1455" s="468">
        <f>1800+1800</f>
        <v>3600</v>
      </c>
      <c r="AR1455" s="468">
        <f>900+900</f>
        <v>1800</v>
      </c>
      <c r="AS1455" s="17" t="s">
        <v>11</v>
      </c>
      <c r="AT1455" s="11"/>
    </row>
    <row r="1456" spans="1:46" s="450" customFormat="1" ht="13.8" thickBot="1" x14ac:dyDescent="0.3">
      <c r="A1456" s="120"/>
      <c r="B1456" s="120"/>
      <c r="C1456" s="120"/>
      <c r="D1456" s="455"/>
      <c r="E1456" s="88" t="s">
        <v>14</v>
      </c>
      <c r="F1456" s="88" t="s">
        <v>406</v>
      </c>
      <c r="G1456" s="149" t="s">
        <v>1326</v>
      </c>
      <c r="H1456" s="143"/>
      <c r="I1456" s="143"/>
      <c r="J1456" s="450" t="s">
        <v>5</v>
      </c>
      <c r="K1456" s="451">
        <f>K1455+K1454</f>
        <v>1366022.22</v>
      </c>
      <c r="L1456" s="43"/>
      <c r="M1456" s="43"/>
      <c r="N1456" s="43"/>
      <c r="O1456" s="43"/>
      <c r="P1456" s="43"/>
      <c r="Q1456" s="413">
        <f>Q1455+Q1454</f>
        <v>76013</v>
      </c>
      <c r="R1456" s="413">
        <f>R1455+R1454</f>
        <v>74525</v>
      </c>
      <c r="S1456" s="43">
        <f>S1455+S1454</f>
        <v>0</v>
      </c>
      <c r="T1456" s="43"/>
      <c r="U1456" s="413">
        <f t="shared" ref="U1456" si="1181">U1455+U1454</f>
        <v>0</v>
      </c>
      <c r="V1456" s="412"/>
      <c r="W1456" s="412"/>
      <c r="X1456" s="412"/>
      <c r="Y1456" s="412">
        <f t="shared" ref="Y1456:AR1456" si="1182">Y1455+Y1454</f>
        <v>92522.22</v>
      </c>
      <c r="Z1456" s="510">
        <f t="shared" si="1182"/>
        <v>90500</v>
      </c>
      <c r="AA1456" s="553">
        <f t="shared" si="1182"/>
        <v>88000</v>
      </c>
      <c r="AB1456" s="412">
        <f t="shared" si="1182"/>
        <v>85500</v>
      </c>
      <c r="AC1456" s="412">
        <f t="shared" si="1182"/>
        <v>83000</v>
      </c>
      <c r="AD1456" s="412">
        <f t="shared" si="1182"/>
        <v>80500</v>
      </c>
      <c r="AE1456" s="412">
        <f t="shared" si="1182"/>
        <v>78000</v>
      </c>
      <c r="AF1456" s="412">
        <f t="shared" si="1182"/>
        <v>75500</v>
      </c>
      <c r="AG1456" s="412">
        <f t="shared" si="1182"/>
        <v>73000</v>
      </c>
      <c r="AH1456" s="412">
        <f t="shared" si="1182"/>
        <v>70500</v>
      </c>
      <c r="AI1456" s="412">
        <f t="shared" si="1182"/>
        <v>63000</v>
      </c>
      <c r="AJ1456" s="412">
        <f t="shared" si="1182"/>
        <v>61200</v>
      </c>
      <c r="AK1456" s="412">
        <f t="shared" si="1182"/>
        <v>59400</v>
      </c>
      <c r="AL1456" s="412">
        <f t="shared" si="1182"/>
        <v>57600</v>
      </c>
      <c r="AM1456" s="412">
        <f t="shared" si="1182"/>
        <v>55800</v>
      </c>
      <c r="AN1456" s="412">
        <f t="shared" si="1182"/>
        <v>54000</v>
      </c>
      <c r="AO1456" s="412">
        <f t="shared" si="1182"/>
        <v>52200</v>
      </c>
      <c r="AP1456" s="412">
        <f t="shared" si="1182"/>
        <v>50400</v>
      </c>
      <c r="AQ1456" s="412">
        <f t="shared" si="1182"/>
        <v>48600</v>
      </c>
      <c r="AR1456" s="412">
        <f t="shared" si="1182"/>
        <v>46800</v>
      </c>
      <c r="AS1456" s="41" t="s">
        <v>11</v>
      </c>
      <c r="AT1456" s="43"/>
    </row>
    <row r="1457" spans="1:46" s="8" customFormat="1" x14ac:dyDescent="0.25">
      <c r="A1457" s="121"/>
      <c r="B1457" s="121"/>
      <c r="C1457" s="306"/>
      <c r="D1457" s="332"/>
      <c r="E1457" s="332"/>
      <c r="F1457" s="332"/>
      <c r="G1457" s="13" t="s">
        <v>33</v>
      </c>
      <c r="H1457" s="13">
        <v>60774919</v>
      </c>
      <c r="I1457" s="13">
        <v>591100</v>
      </c>
      <c r="J1457" s="14" t="s">
        <v>1</v>
      </c>
      <c r="K1457" s="29">
        <f>K1442+K1445+K1448+K1451+K1454</f>
        <v>2540000</v>
      </c>
      <c r="L1457" s="7"/>
      <c r="M1457" s="7"/>
      <c r="N1457" s="67"/>
      <c r="O1457" s="67"/>
      <c r="P1457" s="67"/>
      <c r="Q1457" s="67"/>
      <c r="R1457" s="67"/>
      <c r="S1457" s="67"/>
      <c r="T1457" s="67">
        <f t="shared" ref="T1457:T1458" si="1183">T1454</f>
        <v>0</v>
      </c>
      <c r="U1457" s="67">
        <f>U1454</f>
        <v>0</v>
      </c>
      <c r="V1457" s="67"/>
      <c r="W1457" s="67"/>
      <c r="X1457" s="67"/>
      <c r="Y1457" s="67">
        <f>Y1442+Y1445+Y1448+Y1451+Y1454</f>
        <v>155000</v>
      </c>
      <c r="Z1457" s="507">
        <f>Z1442+Z1445+Z1448+Z1451+Z1454</f>
        <v>155000</v>
      </c>
      <c r="AA1457" s="546">
        <f t="shared" ref="AA1457:AC1457" si="1184">AA1442+AA1445+AA1448+AA1451+AA1454</f>
        <v>155000</v>
      </c>
      <c r="AB1457" s="67">
        <f t="shared" si="1184"/>
        <v>150000</v>
      </c>
      <c r="AC1457" s="67">
        <f t="shared" si="1184"/>
        <v>150000</v>
      </c>
      <c r="AD1457" s="67">
        <f>AD1442+AD1445+AD1448+AD1454</f>
        <v>140000</v>
      </c>
      <c r="AE1457" s="67">
        <f t="shared" ref="AE1457:AM1457" si="1185">AE1442+AE1445+AE1448+AE1454</f>
        <v>140000</v>
      </c>
      <c r="AF1457" s="67">
        <f t="shared" si="1185"/>
        <v>135000</v>
      </c>
      <c r="AG1457" s="67">
        <f t="shared" si="1185"/>
        <v>135000</v>
      </c>
      <c r="AH1457" s="67">
        <f t="shared" si="1185"/>
        <v>135000</v>
      </c>
      <c r="AI1457" s="67">
        <f t="shared" si="1185"/>
        <v>130000</v>
      </c>
      <c r="AJ1457" s="67">
        <f t="shared" si="1185"/>
        <v>130000</v>
      </c>
      <c r="AK1457" s="67">
        <f t="shared" si="1185"/>
        <v>130000</v>
      </c>
      <c r="AL1457" s="67">
        <f t="shared" si="1185"/>
        <v>125000</v>
      </c>
      <c r="AM1457" s="67">
        <f t="shared" si="1185"/>
        <v>125000</v>
      </c>
      <c r="AN1457" s="67">
        <f>AN1442+AN1448+AN1454</f>
        <v>90000</v>
      </c>
      <c r="AO1457" s="67">
        <f t="shared" ref="AO1457:AR1457" si="1186">AO1442+AO1448+AO1454</f>
        <v>90000</v>
      </c>
      <c r="AP1457" s="67">
        <f t="shared" si="1186"/>
        <v>90000</v>
      </c>
      <c r="AQ1457" s="67">
        <f t="shared" si="1186"/>
        <v>90000</v>
      </c>
      <c r="AR1457" s="67">
        <f t="shared" si="1186"/>
        <v>90000</v>
      </c>
      <c r="AS1457" s="3" t="s">
        <v>11</v>
      </c>
      <c r="AT1457" s="3"/>
    </row>
    <row r="1458" spans="1:46" s="8" customFormat="1" x14ac:dyDescent="0.25">
      <c r="A1458" s="121"/>
      <c r="B1458" s="121"/>
      <c r="C1458" s="306"/>
      <c r="D1458" s="14"/>
      <c r="E1458" s="14"/>
      <c r="F1458" s="14"/>
      <c r="G1458" s="14"/>
      <c r="H1458" s="13">
        <v>60774919</v>
      </c>
      <c r="I1458" s="14">
        <v>595100</v>
      </c>
      <c r="J1458" s="18" t="s">
        <v>2</v>
      </c>
      <c r="K1458" s="30">
        <f>K1443+K1446+K1449+K1452+K1455</f>
        <v>1042160</v>
      </c>
      <c r="L1458" s="16"/>
      <c r="M1458" s="16"/>
      <c r="N1458" s="16"/>
      <c r="O1458" s="16"/>
      <c r="P1458" s="16"/>
      <c r="Q1458" s="16"/>
      <c r="R1458" s="16"/>
      <c r="S1458" s="16"/>
      <c r="T1458" s="16">
        <f t="shared" si="1183"/>
        <v>0</v>
      </c>
      <c r="U1458" s="7">
        <f>U1455</f>
        <v>0</v>
      </c>
      <c r="V1458" s="7"/>
      <c r="W1458" s="7"/>
      <c r="X1458" s="7"/>
      <c r="Y1458" s="7">
        <f>Y1443+Y1446+Y1449+Y1452+Y1455</f>
        <v>114810</v>
      </c>
      <c r="Z1458" s="501">
        <f>Z1443+Z1446+Z1449+Z1452+Z1455</f>
        <v>108350</v>
      </c>
      <c r="AA1458" s="540">
        <f t="shared" ref="AA1458:AC1458" si="1187">AA1443+AA1446+AA1449+AA1452+AA1455</f>
        <v>100600</v>
      </c>
      <c r="AB1458" s="7">
        <f t="shared" si="1187"/>
        <v>92850</v>
      </c>
      <c r="AC1458" s="7">
        <f t="shared" si="1187"/>
        <v>85350</v>
      </c>
      <c r="AD1458" s="7">
        <f>AD1443+AD1446+AD1449+AD1455</f>
        <v>77850</v>
      </c>
      <c r="AE1458" s="7">
        <f t="shared" ref="AE1458:AM1458" si="1188">AE1443+AE1446+AE1449+AE1455</f>
        <v>70850</v>
      </c>
      <c r="AF1458" s="7">
        <f t="shared" si="1188"/>
        <v>63850</v>
      </c>
      <c r="AG1458" s="7">
        <f t="shared" si="1188"/>
        <v>57100</v>
      </c>
      <c r="AH1458" s="7">
        <f t="shared" si="1188"/>
        <v>50350</v>
      </c>
      <c r="AI1458" s="7">
        <f t="shared" si="1188"/>
        <v>43600</v>
      </c>
      <c r="AJ1458" s="7">
        <f t="shared" si="1188"/>
        <v>38400</v>
      </c>
      <c r="AK1458" s="7">
        <f t="shared" si="1188"/>
        <v>33200</v>
      </c>
      <c r="AL1458" s="7">
        <f t="shared" si="1188"/>
        <v>28000</v>
      </c>
      <c r="AM1458" s="7">
        <f t="shared" si="1188"/>
        <v>23000</v>
      </c>
      <c r="AN1458" s="7">
        <f>AN1443+AN1449+AN1455</f>
        <v>18000</v>
      </c>
      <c r="AO1458" s="7">
        <f t="shared" ref="AO1458:AR1458" si="1189">AO1443+AO1449+AO1455</f>
        <v>14400</v>
      </c>
      <c r="AP1458" s="7">
        <f t="shared" si="1189"/>
        <v>10800</v>
      </c>
      <c r="AQ1458" s="7">
        <f t="shared" si="1189"/>
        <v>7200</v>
      </c>
      <c r="AR1458" s="7">
        <f t="shared" si="1189"/>
        <v>3600</v>
      </c>
      <c r="AS1458" s="20" t="s">
        <v>11</v>
      </c>
      <c r="AT1458" s="20"/>
    </row>
    <row r="1459" spans="1:46" s="8" customFormat="1" ht="13.8" thickBot="1" x14ac:dyDescent="0.3">
      <c r="A1459" s="122"/>
      <c r="B1459" s="122"/>
      <c r="C1459" s="307"/>
      <c r="D1459" s="87"/>
      <c r="E1459" s="87"/>
      <c r="F1459" s="87"/>
      <c r="G1459" s="149" t="s">
        <v>1327</v>
      </c>
      <c r="H1459" s="87"/>
      <c r="I1459" s="87"/>
      <c r="J1459" s="50" t="s">
        <v>5</v>
      </c>
      <c r="K1459" s="51">
        <f>K1458+K1457</f>
        <v>3582160</v>
      </c>
      <c r="L1459" s="46"/>
      <c r="M1459" s="46"/>
      <c r="N1459" s="46"/>
      <c r="O1459" s="46"/>
      <c r="P1459" s="46"/>
      <c r="Q1459" s="46"/>
      <c r="R1459" s="46"/>
      <c r="S1459" s="46"/>
      <c r="T1459" s="46">
        <f t="shared" ref="T1459:U1459" si="1190">T1458+T1457</f>
        <v>0</v>
      </c>
      <c r="U1459" s="46">
        <f t="shared" si="1190"/>
        <v>0</v>
      </c>
      <c r="V1459" s="46"/>
      <c r="W1459" s="46"/>
      <c r="X1459" s="46"/>
      <c r="Y1459" s="46">
        <f t="shared" ref="Y1459:AR1459" si="1191">Y1458+Y1457</f>
        <v>269810</v>
      </c>
      <c r="Z1459" s="503">
        <f t="shared" si="1191"/>
        <v>263350</v>
      </c>
      <c r="AA1459" s="542">
        <f t="shared" si="1191"/>
        <v>255600</v>
      </c>
      <c r="AB1459" s="46">
        <f t="shared" si="1191"/>
        <v>242850</v>
      </c>
      <c r="AC1459" s="46">
        <f t="shared" si="1191"/>
        <v>235350</v>
      </c>
      <c r="AD1459" s="46">
        <f t="shared" si="1191"/>
        <v>217850</v>
      </c>
      <c r="AE1459" s="46">
        <f t="shared" si="1191"/>
        <v>210850</v>
      </c>
      <c r="AF1459" s="46">
        <f t="shared" si="1191"/>
        <v>198850</v>
      </c>
      <c r="AG1459" s="46">
        <f t="shared" si="1191"/>
        <v>192100</v>
      </c>
      <c r="AH1459" s="46">
        <f t="shared" si="1191"/>
        <v>185350</v>
      </c>
      <c r="AI1459" s="46">
        <f t="shared" si="1191"/>
        <v>173600</v>
      </c>
      <c r="AJ1459" s="46">
        <f t="shared" si="1191"/>
        <v>168400</v>
      </c>
      <c r="AK1459" s="46">
        <f t="shared" si="1191"/>
        <v>163200</v>
      </c>
      <c r="AL1459" s="46">
        <f t="shared" si="1191"/>
        <v>153000</v>
      </c>
      <c r="AM1459" s="46">
        <f t="shared" si="1191"/>
        <v>148000</v>
      </c>
      <c r="AN1459" s="46">
        <f t="shared" si="1191"/>
        <v>108000</v>
      </c>
      <c r="AO1459" s="46">
        <f t="shared" si="1191"/>
        <v>104400</v>
      </c>
      <c r="AP1459" s="46">
        <f t="shared" si="1191"/>
        <v>100800</v>
      </c>
      <c r="AQ1459" s="46">
        <f t="shared" si="1191"/>
        <v>97200</v>
      </c>
      <c r="AR1459" s="46">
        <f t="shared" si="1191"/>
        <v>93600</v>
      </c>
      <c r="AS1459" s="47" t="s">
        <v>11</v>
      </c>
      <c r="AT1459" s="47"/>
    </row>
    <row r="1460" spans="1:46" s="446" customFormat="1" x14ac:dyDescent="0.25">
      <c r="A1460" s="26" t="s">
        <v>4</v>
      </c>
      <c r="B1460" s="26" t="s">
        <v>97</v>
      </c>
      <c r="C1460" s="444"/>
      <c r="D1460" s="55" t="s">
        <v>4</v>
      </c>
      <c r="E1460" s="465">
        <v>45448</v>
      </c>
      <c r="F1460" s="25" t="s">
        <v>267</v>
      </c>
      <c r="G1460" s="316" t="s">
        <v>1328</v>
      </c>
      <c r="H1460" s="427">
        <v>61312368</v>
      </c>
      <c r="I1460" s="427">
        <v>586100</v>
      </c>
      <c r="J1460" s="2" t="s">
        <v>1</v>
      </c>
      <c r="K1460" s="27">
        <v>995000</v>
      </c>
      <c r="L1460" s="4"/>
      <c r="M1460" s="4"/>
      <c r="N1460" s="4"/>
      <c r="O1460" s="4"/>
      <c r="P1460" s="4"/>
      <c r="Q1460" s="4"/>
      <c r="R1460" s="426"/>
      <c r="S1460" s="426"/>
      <c r="T1460" s="426"/>
      <c r="U1460" s="445"/>
      <c r="V1460" s="419"/>
      <c r="W1460" s="445"/>
      <c r="X1460" s="445"/>
      <c r="Y1460" s="445">
        <v>50000</v>
      </c>
      <c r="Z1460" s="513">
        <v>50000</v>
      </c>
      <c r="AA1460" s="556">
        <v>50000</v>
      </c>
      <c r="AB1460" s="445">
        <v>50000</v>
      </c>
      <c r="AC1460" s="445">
        <v>50000</v>
      </c>
      <c r="AD1460" s="445">
        <v>50000</v>
      </c>
      <c r="AE1460" s="445">
        <v>50000</v>
      </c>
      <c r="AF1460" s="445">
        <v>50000</v>
      </c>
      <c r="AG1460" s="445">
        <v>50000</v>
      </c>
      <c r="AH1460" s="445">
        <v>50000</v>
      </c>
      <c r="AI1460" s="445">
        <v>50000</v>
      </c>
      <c r="AJ1460" s="445">
        <v>50000</v>
      </c>
      <c r="AK1460" s="445">
        <v>50000</v>
      </c>
      <c r="AL1460" s="445">
        <v>50000</v>
      </c>
      <c r="AM1460" s="445">
        <v>50000</v>
      </c>
      <c r="AN1460" s="445">
        <v>50000</v>
      </c>
      <c r="AO1460" s="445">
        <v>50000</v>
      </c>
      <c r="AP1460" s="445">
        <v>50000</v>
      </c>
      <c r="AQ1460" s="445">
        <v>50000</v>
      </c>
      <c r="AR1460" s="445">
        <v>45000</v>
      </c>
      <c r="AS1460" s="2" t="s">
        <v>11</v>
      </c>
      <c r="AT1460" s="2"/>
    </row>
    <row r="1461" spans="1:46" s="446" customFormat="1" x14ac:dyDescent="0.25">
      <c r="A1461" s="400" t="s">
        <v>1361</v>
      </c>
      <c r="B1461" s="26"/>
      <c r="C1461" s="444"/>
      <c r="D1461" s="55"/>
      <c r="E1461" s="317" t="s">
        <v>13</v>
      </c>
      <c r="F1461" s="25"/>
      <c r="G1461" s="402" t="s">
        <v>1329</v>
      </c>
      <c r="H1461" s="402" t="s">
        <v>1108</v>
      </c>
      <c r="I1461" s="12"/>
      <c r="J1461" s="17" t="s">
        <v>2</v>
      </c>
      <c r="K1461" s="447">
        <v>443002.22</v>
      </c>
      <c r="L1461" s="11"/>
      <c r="M1461" s="11"/>
      <c r="N1461" s="11"/>
      <c r="O1461" s="11"/>
      <c r="P1461" s="4"/>
      <c r="Q1461" s="4"/>
      <c r="R1461" s="426"/>
      <c r="S1461" s="426"/>
      <c r="T1461" s="426"/>
      <c r="U1461" s="445"/>
      <c r="V1461" s="448"/>
      <c r="W1461" s="445"/>
      <c r="X1461" s="445"/>
      <c r="Y1461" s="445">
        <f>21902.22+22400</f>
        <v>44302.22</v>
      </c>
      <c r="Z1461" s="513">
        <f>21150+21150</f>
        <v>42300</v>
      </c>
      <c r="AA1461" s="556">
        <f>19900+19900</f>
        <v>39800</v>
      </c>
      <c r="AB1461" s="445">
        <f>18650+18650</f>
        <v>37300</v>
      </c>
      <c r="AC1461" s="445">
        <f>17400+17400</f>
        <v>34800</v>
      </c>
      <c r="AD1461" s="445">
        <f>16150+16150</f>
        <v>32300</v>
      </c>
      <c r="AE1461" s="445">
        <f>14900+14900</f>
        <v>29800</v>
      </c>
      <c r="AF1461" s="445">
        <f>13650+13650</f>
        <v>27300</v>
      </c>
      <c r="AG1461" s="445">
        <f>12400+12400</f>
        <v>24800</v>
      </c>
      <c r="AH1461" s="445">
        <f>11150+11150</f>
        <v>22300</v>
      </c>
      <c r="AI1461" s="445">
        <f>9900+9900</f>
        <v>19800</v>
      </c>
      <c r="AJ1461" s="445">
        <f>8900+8900</f>
        <v>17800</v>
      </c>
      <c r="AK1461" s="445">
        <f>7900+7900</f>
        <v>15800</v>
      </c>
      <c r="AL1461" s="445">
        <f>6900+6900</f>
        <v>13800</v>
      </c>
      <c r="AM1461" s="445">
        <f>5900+5900</f>
        <v>11800</v>
      </c>
      <c r="AN1461" s="445">
        <f>4900+4900</f>
        <v>9800</v>
      </c>
      <c r="AO1461" s="445">
        <f>3900+3900</f>
        <v>7800</v>
      </c>
      <c r="AP1461" s="445">
        <f>2900+2900</f>
        <v>5800</v>
      </c>
      <c r="AQ1461" s="445">
        <f>1900+1900</f>
        <v>3800</v>
      </c>
      <c r="AR1461" s="445">
        <f>900+900</f>
        <v>1800</v>
      </c>
      <c r="AS1461" s="17" t="s">
        <v>11</v>
      </c>
      <c r="AT1461" s="17"/>
    </row>
    <row r="1462" spans="1:46" s="450" customFormat="1" ht="13.8" thickBot="1" x14ac:dyDescent="0.3">
      <c r="A1462" s="120"/>
      <c r="B1462" s="120"/>
      <c r="C1462" s="120"/>
      <c r="D1462" s="91"/>
      <c r="E1462" s="144" t="s">
        <v>16</v>
      </c>
      <c r="F1462" s="398" t="s">
        <v>407</v>
      </c>
      <c r="G1462" s="449" t="s">
        <v>1330</v>
      </c>
      <c r="H1462" s="144"/>
      <c r="I1462" s="124"/>
      <c r="J1462" s="450" t="s">
        <v>5</v>
      </c>
      <c r="K1462" s="451">
        <f>K1461+K1460</f>
        <v>1438002.22</v>
      </c>
      <c r="L1462" s="43"/>
      <c r="M1462" s="43"/>
      <c r="N1462" s="43"/>
      <c r="O1462" s="43"/>
      <c r="P1462" s="43">
        <f>P1461+P1460</f>
        <v>0</v>
      </c>
      <c r="Q1462" s="43"/>
      <c r="R1462" s="43">
        <f>R1461+R1460</f>
        <v>0</v>
      </c>
      <c r="S1462" s="43">
        <f>S1461+S1460</f>
        <v>0</v>
      </c>
      <c r="T1462" s="43"/>
      <c r="U1462" s="43">
        <f>U1461+U1460</f>
        <v>0</v>
      </c>
      <c r="V1462" s="412"/>
      <c r="W1462" s="412"/>
      <c r="X1462" s="412"/>
      <c r="Y1462" s="412">
        <f>Y1461+Y1460</f>
        <v>94302.22</v>
      </c>
      <c r="Z1462" s="510">
        <f>Z1461+Z1460</f>
        <v>92300</v>
      </c>
      <c r="AA1462" s="553">
        <f t="shared" ref="AA1462:AR1462" si="1192">AA1461+AA1460</f>
        <v>89800</v>
      </c>
      <c r="AB1462" s="412">
        <f t="shared" si="1192"/>
        <v>87300</v>
      </c>
      <c r="AC1462" s="412">
        <f t="shared" si="1192"/>
        <v>84800</v>
      </c>
      <c r="AD1462" s="412">
        <f t="shared" si="1192"/>
        <v>82300</v>
      </c>
      <c r="AE1462" s="412">
        <f t="shared" si="1192"/>
        <v>79800</v>
      </c>
      <c r="AF1462" s="412">
        <f t="shared" si="1192"/>
        <v>77300</v>
      </c>
      <c r="AG1462" s="412">
        <f t="shared" si="1192"/>
        <v>74800</v>
      </c>
      <c r="AH1462" s="412">
        <f t="shared" si="1192"/>
        <v>72300</v>
      </c>
      <c r="AI1462" s="412">
        <f t="shared" si="1192"/>
        <v>69800</v>
      </c>
      <c r="AJ1462" s="412">
        <f t="shared" si="1192"/>
        <v>67800</v>
      </c>
      <c r="AK1462" s="412">
        <f t="shared" si="1192"/>
        <v>65800</v>
      </c>
      <c r="AL1462" s="412">
        <f t="shared" si="1192"/>
        <v>63800</v>
      </c>
      <c r="AM1462" s="412">
        <f t="shared" si="1192"/>
        <v>61800</v>
      </c>
      <c r="AN1462" s="412">
        <f t="shared" si="1192"/>
        <v>59800</v>
      </c>
      <c r="AO1462" s="412">
        <f t="shared" si="1192"/>
        <v>57800</v>
      </c>
      <c r="AP1462" s="412">
        <f t="shared" si="1192"/>
        <v>55800</v>
      </c>
      <c r="AQ1462" s="412">
        <f t="shared" si="1192"/>
        <v>53800</v>
      </c>
      <c r="AR1462" s="412">
        <f t="shared" si="1192"/>
        <v>46800</v>
      </c>
      <c r="AS1462" s="41" t="s">
        <v>11</v>
      </c>
      <c r="AT1462" s="41"/>
    </row>
    <row r="1463" spans="1:46" s="446" customFormat="1" x14ac:dyDescent="0.25">
      <c r="A1463" s="26" t="s">
        <v>4</v>
      </c>
      <c r="B1463" s="26" t="s">
        <v>97</v>
      </c>
      <c r="C1463" s="444"/>
      <c r="D1463" s="55" t="s">
        <v>4</v>
      </c>
      <c r="E1463" s="465">
        <v>45448</v>
      </c>
      <c r="F1463" s="25" t="s">
        <v>267</v>
      </c>
      <c r="G1463" s="427" t="s">
        <v>1331</v>
      </c>
      <c r="H1463" s="427">
        <v>61312368</v>
      </c>
      <c r="I1463" s="427">
        <v>583000</v>
      </c>
      <c r="J1463" s="2" t="s">
        <v>1</v>
      </c>
      <c r="K1463" s="27">
        <v>120000</v>
      </c>
      <c r="L1463" s="4"/>
      <c r="M1463" s="4"/>
      <c r="N1463" s="4"/>
      <c r="O1463" s="4"/>
      <c r="P1463" s="4"/>
      <c r="Q1463" s="4"/>
      <c r="R1463" s="426"/>
      <c r="S1463" s="426"/>
      <c r="T1463" s="426"/>
      <c r="U1463" s="445"/>
      <c r="V1463" s="419"/>
      <c r="W1463" s="445"/>
      <c r="X1463" s="445"/>
      <c r="Y1463" s="445">
        <v>25000</v>
      </c>
      <c r="Z1463" s="513">
        <v>25000</v>
      </c>
      <c r="AA1463" s="556">
        <v>25000</v>
      </c>
      <c r="AB1463" s="445">
        <v>25000</v>
      </c>
      <c r="AC1463" s="445">
        <v>20000</v>
      </c>
      <c r="AD1463" s="2" t="s">
        <v>11</v>
      </c>
      <c r="AE1463" s="445"/>
      <c r="AF1463" s="445"/>
      <c r="AG1463" s="445"/>
      <c r="AH1463" s="445"/>
      <c r="AI1463" s="445"/>
      <c r="AJ1463" s="445"/>
      <c r="AK1463" s="445"/>
      <c r="AL1463" s="445"/>
      <c r="AM1463" s="445"/>
      <c r="AN1463" s="445"/>
      <c r="AO1463" s="445"/>
      <c r="AP1463" s="445"/>
      <c r="AQ1463" s="424"/>
      <c r="AR1463" s="424"/>
      <c r="AS1463" s="2"/>
      <c r="AT1463" s="2"/>
    </row>
    <row r="1464" spans="1:46" s="446" customFormat="1" x14ac:dyDescent="0.25">
      <c r="A1464" s="400" t="s">
        <v>1362</v>
      </c>
      <c r="B1464" s="26"/>
      <c r="C1464" s="444"/>
      <c r="D1464" s="55"/>
      <c r="E1464" s="317" t="s">
        <v>13</v>
      </c>
      <c r="F1464" s="25"/>
      <c r="G1464" s="402" t="s">
        <v>1332</v>
      </c>
      <c r="H1464" s="402" t="s">
        <v>1106</v>
      </c>
      <c r="I1464" s="12"/>
      <c r="J1464" s="17" t="s">
        <v>2</v>
      </c>
      <c r="K1464" s="447">
        <v>17433.330000000002</v>
      </c>
      <c r="L1464" s="11"/>
      <c r="M1464" s="11"/>
      <c r="N1464" s="11"/>
      <c r="O1464" s="11"/>
      <c r="P1464" s="4"/>
      <c r="Q1464" s="4"/>
      <c r="R1464" s="426"/>
      <c r="S1464" s="426"/>
      <c r="T1464" s="426"/>
      <c r="U1464" s="445"/>
      <c r="V1464" s="448"/>
      <c r="W1464" s="445"/>
      <c r="X1464" s="445"/>
      <c r="Y1464" s="445">
        <f>2933.33+3000</f>
        <v>5933.33</v>
      </c>
      <c r="Z1464" s="513">
        <f>2375+2375</f>
        <v>4750</v>
      </c>
      <c r="AA1464" s="556">
        <f>1750+1750</f>
        <v>3500</v>
      </c>
      <c r="AB1464" s="445">
        <f>1125+1125</f>
        <v>2250</v>
      </c>
      <c r="AC1464" s="445">
        <f>500+500</f>
        <v>1000</v>
      </c>
      <c r="AD1464" s="17" t="s">
        <v>11</v>
      </c>
      <c r="AE1464" s="445"/>
      <c r="AF1464" s="445"/>
      <c r="AG1464" s="445"/>
      <c r="AH1464" s="445"/>
      <c r="AI1464" s="445"/>
      <c r="AJ1464" s="445"/>
      <c r="AK1464" s="445"/>
      <c r="AL1464" s="445"/>
      <c r="AM1464" s="445"/>
      <c r="AN1464" s="445"/>
      <c r="AO1464" s="445"/>
      <c r="AP1464" s="445"/>
      <c r="AQ1464" s="418"/>
      <c r="AR1464" s="418"/>
      <c r="AS1464" s="17"/>
      <c r="AT1464" s="17"/>
    </row>
    <row r="1465" spans="1:46" s="450" customFormat="1" ht="13.8" thickBot="1" x14ac:dyDescent="0.3">
      <c r="A1465" s="120"/>
      <c r="B1465" s="120"/>
      <c r="C1465" s="120"/>
      <c r="D1465" s="91"/>
      <c r="E1465" s="90" t="s">
        <v>160</v>
      </c>
      <c r="F1465" s="398" t="s">
        <v>407</v>
      </c>
      <c r="G1465" s="449" t="s">
        <v>1186</v>
      </c>
      <c r="H1465" s="144"/>
      <c r="I1465" s="124"/>
      <c r="J1465" s="450" t="s">
        <v>5</v>
      </c>
      <c r="K1465" s="451">
        <f>K1464+K1463</f>
        <v>137433.33000000002</v>
      </c>
      <c r="L1465" s="43"/>
      <c r="M1465" s="43"/>
      <c r="N1465" s="43"/>
      <c r="O1465" s="43"/>
      <c r="P1465" s="43">
        <f>P1464+P1463</f>
        <v>0</v>
      </c>
      <c r="Q1465" s="43"/>
      <c r="R1465" s="43">
        <f>R1464+R1463</f>
        <v>0</v>
      </c>
      <c r="S1465" s="43">
        <f>S1464+S1463</f>
        <v>0</v>
      </c>
      <c r="T1465" s="43"/>
      <c r="U1465" s="43">
        <f>U1464+U1463</f>
        <v>0</v>
      </c>
      <c r="V1465" s="412"/>
      <c r="W1465" s="412"/>
      <c r="X1465" s="412"/>
      <c r="Y1465" s="412">
        <f t="shared" ref="Y1465:AC1465" si="1193">Y1464+Y1463</f>
        <v>30933.33</v>
      </c>
      <c r="Z1465" s="510">
        <f t="shared" si="1193"/>
        <v>29750</v>
      </c>
      <c r="AA1465" s="553">
        <f t="shared" si="1193"/>
        <v>28500</v>
      </c>
      <c r="AB1465" s="412">
        <f t="shared" si="1193"/>
        <v>27250</v>
      </c>
      <c r="AC1465" s="412">
        <f t="shared" si="1193"/>
        <v>21000</v>
      </c>
      <c r="AD1465" s="41" t="s">
        <v>11</v>
      </c>
      <c r="AE1465" s="412"/>
      <c r="AF1465" s="412"/>
      <c r="AG1465" s="412"/>
      <c r="AH1465" s="411"/>
      <c r="AI1465" s="411"/>
      <c r="AJ1465" s="411"/>
      <c r="AK1465" s="411"/>
      <c r="AL1465" s="411"/>
      <c r="AM1465" s="411"/>
      <c r="AN1465" s="411"/>
      <c r="AO1465" s="411"/>
      <c r="AP1465" s="411"/>
      <c r="AQ1465" s="411"/>
      <c r="AR1465" s="411"/>
      <c r="AS1465" s="41"/>
      <c r="AT1465" s="41"/>
    </row>
    <row r="1466" spans="1:46" s="446" customFormat="1" x14ac:dyDescent="0.25">
      <c r="A1466" s="26" t="s">
        <v>4</v>
      </c>
      <c r="B1466" s="26" t="s">
        <v>97</v>
      </c>
      <c r="C1466" s="444"/>
      <c r="D1466" s="55" t="s">
        <v>4</v>
      </c>
      <c r="E1466" s="465">
        <v>45448</v>
      </c>
      <c r="F1466" s="25" t="s">
        <v>267</v>
      </c>
      <c r="G1466" s="316" t="s">
        <v>1333</v>
      </c>
      <c r="H1466" s="427">
        <v>61312368</v>
      </c>
      <c r="I1466" s="427">
        <v>583010</v>
      </c>
      <c r="J1466" s="2" t="s">
        <v>1</v>
      </c>
      <c r="K1466" s="27">
        <v>285000</v>
      </c>
      <c r="L1466" s="4"/>
      <c r="M1466" s="4"/>
      <c r="N1466" s="4"/>
      <c r="O1466" s="4"/>
      <c r="P1466" s="4"/>
      <c r="Q1466" s="4"/>
      <c r="R1466" s="426"/>
      <c r="S1466" s="426"/>
      <c r="T1466" s="426"/>
      <c r="U1466" s="445"/>
      <c r="V1466" s="419"/>
      <c r="W1466" s="445"/>
      <c r="X1466" s="445"/>
      <c r="Y1466" s="445">
        <v>15000</v>
      </c>
      <c r="Z1466" s="513">
        <v>15000</v>
      </c>
      <c r="AA1466" s="556">
        <v>15000</v>
      </c>
      <c r="AB1466" s="445">
        <v>15000</v>
      </c>
      <c r="AC1466" s="445">
        <v>15000</v>
      </c>
      <c r="AD1466" s="445">
        <v>15000</v>
      </c>
      <c r="AE1466" s="445">
        <v>15000</v>
      </c>
      <c r="AF1466" s="445">
        <v>15000</v>
      </c>
      <c r="AG1466" s="445">
        <v>15000</v>
      </c>
      <c r="AH1466" s="445">
        <v>15000</v>
      </c>
      <c r="AI1466" s="445">
        <v>15000</v>
      </c>
      <c r="AJ1466" s="445">
        <v>15000</v>
      </c>
      <c r="AK1466" s="445">
        <v>15000</v>
      </c>
      <c r="AL1466" s="445">
        <v>15000</v>
      </c>
      <c r="AM1466" s="445">
        <v>15000</v>
      </c>
      <c r="AN1466" s="445">
        <v>15000</v>
      </c>
      <c r="AO1466" s="445">
        <v>15000</v>
      </c>
      <c r="AP1466" s="445">
        <v>10000</v>
      </c>
      <c r="AQ1466" s="445">
        <v>10000</v>
      </c>
      <c r="AR1466" s="445">
        <v>10000</v>
      </c>
      <c r="AS1466" s="2" t="s">
        <v>11</v>
      </c>
      <c r="AT1466" s="2"/>
    </row>
    <row r="1467" spans="1:46" s="446" customFormat="1" x14ac:dyDescent="0.25">
      <c r="A1467" s="400" t="s">
        <v>1363</v>
      </c>
      <c r="B1467" s="26"/>
      <c r="C1467" s="444"/>
      <c r="D1467" s="55"/>
      <c r="E1467" s="317" t="s">
        <v>13</v>
      </c>
      <c r="F1467" s="25"/>
      <c r="G1467" s="402" t="s">
        <v>1334</v>
      </c>
      <c r="H1467" s="402" t="s">
        <v>1108</v>
      </c>
      <c r="I1467" s="12"/>
      <c r="J1467" s="17" t="s">
        <v>2</v>
      </c>
      <c r="K1467" s="447">
        <v>122706.67</v>
      </c>
      <c r="L1467" s="11"/>
      <c r="M1467" s="11"/>
      <c r="N1467" s="11"/>
      <c r="O1467" s="11"/>
      <c r="P1467" s="4"/>
      <c r="Q1467" s="4"/>
      <c r="R1467" s="426"/>
      <c r="S1467" s="426"/>
      <c r="T1467" s="426"/>
      <c r="U1467" s="445"/>
      <c r="V1467" s="448"/>
      <c r="W1467" s="445"/>
      <c r="X1467" s="445"/>
      <c r="Y1467" s="445">
        <f>6306.67+6450</f>
        <v>12756.67</v>
      </c>
      <c r="Z1467" s="513">
        <f>6075+6075</f>
        <v>12150</v>
      </c>
      <c r="AA1467" s="556">
        <f>5700+5700</f>
        <v>11400</v>
      </c>
      <c r="AB1467" s="445">
        <f>5325+5325</f>
        <v>10650</v>
      </c>
      <c r="AC1467" s="445">
        <f>4950+4950</f>
        <v>9900</v>
      </c>
      <c r="AD1467" s="445">
        <f>4575+4575</f>
        <v>9150</v>
      </c>
      <c r="AE1467" s="445">
        <f>4200+4200</f>
        <v>8400</v>
      </c>
      <c r="AF1467" s="445">
        <f>3825+3825</f>
        <v>7650</v>
      </c>
      <c r="AG1467" s="445">
        <f>3450+3450</f>
        <v>6900</v>
      </c>
      <c r="AH1467" s="445">
        <f>3075+3075</f>
        <v>6150</v>
      </c>
      <c r="AI1467" s="445">
        <f>2700+2700</f>
        <v>5400</v>
      </c>
      <c r="AJ1467" s="445">
        <f>2400+2400</f>
        <v>4800</v>
      </c>
      <c r="AK1467" s="445">
        <f>2100+2100</f>
        <v>4200</v>
      </c>
      <c r="AL1467" s="445">
        <f>1800+1800</f>
        <v>3600</v>
      </c>
      <c r="AM1467" s="445">
        <f>1500+1500</f>
        <v>3000</v>
      </c>
      <c r="AN1467" s="445">
        <f>1200+1200</f>
        <v>2400</v>
      </c>
      <c r="AO1467" s="445">
        <f>900+900</f>
        <v>1800</v>
      </c>
      <c r="AP1467" s="445">
        <f>600+600</f>
        <v>1200</v>
      </c>
      <c r="AQ1467" s="445">
        <f>400+400</f>
        <v>800</v>
      </c>
      <c r="AR1467" s="445">
        <f>200+200</f>
        <v>400</v>
      </c>
      <c r="AS1467" s="17" t="s">
        <v>11</v>
      </c>
      <c r="AT1467" s="17"/>
    </row>
    <row r="1468" spans="1:46" s="450" customFormat="1" ht="13.8" thickBot="1" x14ac:dyDescent="0.3">
      <c r="A1468" s="120"/>
      <c r="B1468" s="120"/>
      <c r="C1468" s="120"/>
      <c r="D1468" s="91"/>
      <c r="E1468" s="90" t="s">
        <v>160</v>
      </c>
      <c r="F1468" s="398" t="s">
        <v>407</v>
      </c>
      <c r="G1468" s="449" t="s">
        <v>936</v>
      </c>
      <c r="H1468" s="144"/>
      <c r="I1468" s="124"/>
      <c r="J1468" s="450" t="s">
        <v>5</v>
      </c>
      <c r="K1468" s="451">
        <f>K1467+K1466</f>
        <v>407706.67</v>
      </c>
      <c r="L1468" s="43"/>
      <c r="M1468" s="43"/>
      <c r="N1468" s="43"/>
      <c r="O1468" s="43"/>
      <c r="P1468" s="43">
        <f>P1467+P1466</f>
        <v>0</v>
      </c>
      <c r="Q1468" s="43"/>
      <c r="R1468" s="43">
        <f>R1467+R1466</f>
        <v>0</v>
      </c>
      <c r="S1468" s="43">
        <f>S1467+S1466</f>
        <v>0</v>
      </c>
      <c r="T1468" s="43"/>
      <c r="U1468" s="43">
        <f>U1467+U1466</f>
        <v>0</v>
      </c>
      <c r="V1468" s="412"/>
      <c r="W1468" s="412"/>
      <c r="X1468" s="412"/>
      <c r="Y1468" s="412">
        <f>Y1467+Y1466</f>
        <v>27756.67</v>
      </c>
      <c r="Z1468" s="510">
        <f>Z1467+Z1466</f>
        <v>27150</v>
      </c>
      <c r="AA1468" s="553">
        <f>AA1467+AA1466</f>
        <v>26400</v>
      </c>
      <c r="AB1468" s="412">
        <f t="shared" ref="AB1468:AR1468" si="1194">AB1467+AB1466</f>
        <v>25650</v>
      </c>
      <c r="AC1468" s="412">
        <f t="shared" si="1194"/>
        <v>24900</v>
      </c>
      <c r="AD1468" s="412">
        <f t="shared" si="1194"/>
        <v>24150</v>
      </c>
      <c r="AE1468" s="412">
        <f t="shared" si="1194"/>
        <v>23400</v>
      </c>
      <c r="AF1468" s="412">
        <f t="shared" si="1194"/>
        <v>22650</v>
      </c>
      <c r="AG1468" s="412">
        <f t="shared" si="1194"/>
        <v>21900</v>
      </c>
      <c r="AH1468" s="412">
        <f t="shared" si="1194"/>
        <v>21150</v>
      </c>
      <c r="AI1468" s="412">
        <f t="shared" si="1194"/>
        <v>20400</v>
      </c>
      <c r="AJ1468" s="412">
        <f t="shared" si="1194"/>
        <v>19800</v>
      </c>
      <c r="AK1468" s="412">
        <f t="shared" si="1194"/>
        <v>19200</v>
      </c>
      <c r="AL1468" s="412">
        <f t="shared" si="1194"/>
        <v>18600</v>
      </c>
      <c r="AM1468" s="412">
        <f t="shared" si="1194"/>
        <v>18000</v>
      </c>
      <c r="AN1468" s="412">
        <f t="shared" si="1194"/>
        <v>17400</v>
      </c>
      <c r="AO1468" s="412">
        <f t="shared" si="1194"/>
        <v>16800</v>
      </c>
      <c r="AP1468" s="412">
        <f t="shared" si="1194"/>
        <v>11200</v>
      </c>
      <c r="AQ1468" s="412">
        <f t="shared" si="1194"/>
        <v>10800</v>
      </c>
      <c r="AR1468" s="412">
        <f t="shared" si="1194"/>
        <v>10400</v>
      </c>
      <c r="AS1468" s="41" t="s">
        <v>11</v>
      </c>
      <c r="AT1468" s="41"/>
    </row>
    <row r="1469" spans="1:46" s="446" customFormat="1" x14ac:dyDescent="0.25">
      <c r="A1469" s="26" t="s">
        <v>4</v>
      </c>
      <c r="B1469" s="26" t="s">
        <v>97</v>
      </c>
      <c r="C1469" s="444"/>
      <c r="D1469" s="55" t="s">
        <v>4</v>
      </c>
      <c r="E1469" s="465">
        <v>45448</v>
      </c>
      <c r="F1469" s="25" t="s">
        <v>347</v>
      </c>
      <c r="G1469" s="316" t="s">
        <v>1278</v>
      </c>
      <c r="H1469" s="427">
        <v>61312368</v>
      </c>
      <c r="I1469" s="427">
        <v>585100</v>
      </c>
      <c r="J1469" s="2" t="s">
        <v>1</v>
      </c>
      <c r="K1469" s="27">
        <v>110000</v>
      </c>
      <c r="L1469" s="4"/>
      <c r="M1469" s="4"/>
      <c r="N1469" s="4"/>
      <c r="O1469" s="4"/>
      <c r="P1469" s="4"/>
      <c r="Q1469" s="4"/>
      <c r="R1469" s="426"/>
      <c r="S1469" s="426"/>
      <c r="T1469" s="426"/>
      <c r="U1469" s="445"/>
      <c r="V1469" s="419"/>
      <c r="W1469" s="445"/>
      <c r="X1469" s="445"/>
      <c r="Y1469" s="445">
        <v>25000</v>
      </c>
      <c r="Z1469" s="513">
        <v>25000</v>
      </c>
      <c r="AA1469" s="556">
        <v>20000</v>
      </c>
      <c r="AB1469" s="445">
        <v>20000</v>
      </c>
      <c r="AC1469" s="445">
        <v>20000</v>
      </c>
      <c r="AD1469" s="2" t="s">
        <v>11</v>
      </c>
      <c r="AE1469" s="445"/>
      <c r="AF1469" s="445"/>
      <c r="AG1469" s="445"/>
      <c r="AH1469" s="445"/>
      <c r="AI1469" s="445"/>
      <c r="AJ1469" s="445"/>
      <c r="AK1469" s="445"/>
      <c r="AL1469" s="445"/>
      <c r="AM1469" s="445"/>
      <c r="AN1469" s="445"/>
      <c r="AO1469" s="445"/>
      <c r="AP1469" s="445"/>
      <c r="AQ1469" s="424"/>
      <c r="AR1469" s="424"/>
      <c r="AS1469" s="2"/>
      <c r="AT1469" s="2"/>
    </row>
    <row r="1470" spans="1:46" s="446" customFormat="1" x14ac:dyDescent="0.25">
      <c r="A1470" s="400" t="s">
        <v>1364</v>
      </c>
      <c r="B1470" s="26"/>
      <c r="C1470" s="444"/>
      <c r="D1470" s="55"/>
      <c r="E1470" s="317" t="s">
        <v>13</v>
      </c>
      <c r="F1470" s="25"/>
      <c r="G1470" s="402" t="s">
        <v>1335</v>
      </c>
      <c r="H1470" s="402" t="s">
        <v>1106</v>
      </c>
      <c r="I1470" s="12"/>
      <c r="J1470" s="17" t="s">
        <v>2</v>
      </c>
      <c r="K1470" s="447">
        <v>15688.89</v>
      </c>
      <c r="L1470" s="11"/>
      <c r="M1470" s="11"/>
      <c r="N1470" s="11"/>
      <c r="O1470" s="11"/>
      <c r="P1470" s="4"/>
      <c r="Q1470" s="4"/>
      <c r="R1470" s="426"/>
      <c r="S1470" s="426"/>
      <c r="T1470" s="426"/>
      <c r="U1470" s="445"/>
      <c r="V1470" s="448"/>
      <c r="W1470" s="445"/>
      <c r="X1470" s="445"/>
      <c r="Y1470" s="445">
        <f>2688.89+2750</f>
        <v>5438.8899999999994</v>
      </c>
      <c r="Z1470" s="513">
        <f>2125+2125</f>
        <v>4250</v>
      </c>
      <c r="AA1470" s="556">
        <f>1500+1500</f>
        <v>3000</v>
      </c>
      <c r="AB1470" s="445">
        <f>1000+1000</f>
        <v>2000</v>
      </c>
      <c r="AC1470" s="445">
        <f>500+500</f>
        <v>1000</v>
      </c>
      <c r="AD1470" s="17" t="s">
        <v>11</v>
      </c>
      <c r="AE1470" s="445"/>
      <c r="AF1470" s="445"/>
      <c r="AG1470" s="445"/>
      <c r="AH1470" s="445"/>
      <c r="AI1470" s="445"/>
      <c r="AJ1470" s="445"/>
      <c r="AK1470" s="445"/>
      <c r="AL1470" s="445"/>
      <c r="AM1470" s="445"/>
      <c r="AN1470" s="445"/>
      <c r="AO1470" s="445"/>
      <c r="AP1470" s="445"/>
      <c r="AQ1470" s="418"/>
      <c r="AR1470" s="418"/>
      <c r="AS1470" s="17"/>
      <c r="AT1470" s="17"/>
    </row>
    <row r="1471" spans="1:46" s="450" customFormat="1" ht="13.8" thickBot="1" x14ac:dyDescent="0.3">
      <c r="A1471" s="120"/>
      <c r="B1471" s="120"/>
      <c r="C1471" s="120"/>
      <c r="D1471" s="91"/>
      <c r="E1471" s="90" t="s">
        <v>16</v>
      </c>
      <c r="F1471" s="398" t="s">
        <v>407</v>
      </c>
      <c r="G1471" s="449"/>
      <c r="H1471" s="144"/>
      <c r="I1471" s="124"/>
      <c r="J1471" s="450" t="s">
        <v>5</v>
      </c>
      <c r="K1471" s="451">
        <f>K1470+K1469</f>
        <v>125688.89</v>
      </c>
      <c r="L1471" s="43"/>
      <c r="M1471" s="43"/>
      <c r="N1471" s="43"/>
      <c r="O1471" s="43"/>
      <c r="P1471" s="43">
        <f>P1470+P1469</f>
        <v>0</v>
      </c>
      <c r="Q1471" s="43"/>
      <c r="R1471" s="43">
        <f>R1470+R1469</f>
        <v>0</v>
      </c>
      <c r="S1471" s="43">
        <f>S1470+S1469</f>
        <v>0</v>
      </c>
      <c r="T1471" s="43"/>
      <c r="U1471" s="43">
        <f>U1470+U1469</f>
        <v>0</v>
      </c>
      <c r="V1471" s="412"/>
      <c r="W1471" s="412"/>
      <c r="X1471" s="412"/>
      <c r="Y1471" s="412">
        <f t="shared" ref="Y1471:AC1471" si="1195">Y1470+Y1469</f>
        <v>30438.89</v>
      </c>
      <c r="Z1471" s="510">
        <f t="shared" si="1195"/>
        <v>29250</v>
      </c>
      <c r="AA1471" s="553">
        <f t="shared" si="1195"/>
        <v>23000</v>
      </c>
      <c r="AB1471" s="412">
        <f t="shared" si="1195"/>
        <v>22000</v>
      </c>
      <c r="AC1471" s="412">
        <f t="shared" si="1195"/>
        <v>21000</v>
      </c>
      <c r="AD1471" s="41" t="s">
        <v>11</v>
      </c>
      <c r="AE1471" s="412"/>
      <c r="AF1471" s="412"/>
      <c r="AG1471" s="412"/>
      <c r="AH1471" s="411"/>
      <c r="AI1471" s="411"/>
      <c r="AJ1471" s="411"/>
      <c r="AK1471" s="411"/>
      <c r="AL1471" s="411"/>
      <c r="AM1471" s="411"/>
      <c r="AN1471" s="411"/>
      <c r="AO1471" s="411"/>
      <c r="AP1471" s="411"/>
      <c r="AQ1471" s="411"/>
      <c r="AR1471" s="411"/>
      <c r="AS1471" s="41"/>
      <c r="AT1471" s="41"/>
    </row>
    <row r="1472" spans="1:46" s="8" customFormat="1" x14ac:dyDescent="0.25">
      <c r="A1472" s="121"/>
      <c r="B1472" s="26"/>
      <c r="C1472" s="306"/>
      <c r="D1472" s="55"/>
      <c r="E1472" s="55"/>
      <c r="F1472" s="55"/>
      <c r="G1472" s="9" t="s">
        <v>7</v>
      </c>
      <c r="H1472" s="9">
        <v>61774919</v>
      </c>
      <c r="I1472" s="9">
        <v>591100</v>
      </c>
      <c r="J1472" s="10" t="s">
        <v>1</v>
      </c>
      <c r="K1472" s="31">
        <f>K1460+K1463+K1466+K1469</f>
        <v>1510000</v>
      </c>
      <c r="L1472" s="7"/>
      <c r="M1472" s="7"/>
      <c r="N1472" s="7"/>
      <c r="O1472" s="7"/>
      <c r="P1472" s="7"/>
      <c r="Q1472" s="7"/>
      <c r="R1472" s="7"/>
      <c r="S1472" s="7"/>
      <c r="T1472" s="7" t="e">
        <f>#REF!</f>
        <v>#REF!</v>
      </c>
      <c r="U1472" s="7"/>
      <c r="V1472" s="7"/>
      <c r="W1472" s="7"/>
      <c r="X1472" s="7"/>
      <c r="Y1472" s="7">
        <f>Y1460+Y1463+Y1466+Y1469</f>
        <v>115000</v>
      </c>
      <c r="Z1472" s="501">
        <f>Z1460+Z1463+Z1466+Z1469</f>
        <v>115000</v>
      </c>
      <c r="AA1472" s="540">
        <f t="shared" ref="AA1472:AC1472" si="1196">AA1460+AA1463+AA1466+AA1469</f>
        <v>110000</v>
      </c>
      <c r="AB1472" s="7">
        <f t="shared" si="1196"/>
        <v>110000</v>
      </c>
      <c r="AC1472" s="7">
        <f t="shared" si="1196"/>
        <v>105000</v>
      </c>
      <c r="AD1472" s="7">
        <f>AD1460+AD1466</f>
        <v>65000</v>
      </c>
      <c r="AE1472" s="7">
        <f t="shared" ref="AE1472:AR1473" si="1197">AE1460+AE1466</f>
        <v>65000</v>
      </c>
      <c r="AF1472" s="7">
        <f t="shared" si="1197"/>
        <v>65000</v>
      </c>
      <c r="AG1472" s="7">
        <f t="shared" si="1197"/>
        <v>65000</v>
      </c>
      <c r="AH1472" s="7">
        <f t="shared" si="1197"/>
        <v>65000</v>
      </c>
      <c r="AI1472" s="7">
        <f t="shared" si="1197"/>
        <v>65000</v>
      </c>
      <c r="AJ1472" s="7">
        <f t="shared" si="1197"/>
        <v>65000</v>
      </c>
      <c r="AK1472" s="7">
        <f t="shared" si="1197"/>
        <v>65000</v>
      </c>
      <c r="AL1472" s="7">
        <f t="shared" si="1197"/>
        <v>65000</v>
      </c>
      <c r="AM1472" s="7">
        <f t="shared" si="1197"/>
        <v>65000</v>
      </c>
      <c r="AN1472" s="7">
        <f t="shared" si="1197"/>
        <v>65000</v>
      </c>
      <c r="AO1472" s="7">
        <f t="shared" si="1197"/>
        <v>65000</v>
      </c>
      <c r="AP1472" s="7">
        <f t="shared" si="1197"/>
        <v>60000</v>
      </c>
      <c r="AQ1472" s="7">
        <f t="shared" si="1197"/>
        <v>60000</v>
      </c>
      <c r="AR1472" s="7">
        <f t="shared" si="1197"/>
        <v>55000</v>
      </c>
      <c r="AS1472" s="3" t="s">
        <v>11</v>
      </c>
      <c r="AT1472" s="3"/>
    </row>
    <row r="1473" spans="1:46" s="8" customFormat="1" x14ac:dyDescent="0.25">
      <c r="A1473" s="121"/>
      <c r="B1473" s="121"/>
      <c r="C1473" s="306"/>
      <c r="D1473" s="10"/>
      <c r="E1473" s="10"/>
      <c r="F1473" s="10"/>
      <c r="G1473" s="10"/>
      <c r="H1473" s="9">
        <v>61774919</v>
      </c>
      <c r="I1473" s="10">
        <v>595100</v>
      </c>
      <c r="J1473" s="19" t="s">
        <v>2</v>
      </c>
      <c r="K1473" s="31">
        <f>K1461+K1464+K1467+K1470</f>
        <v>598831.11</v>
      </c>
      <c r="L1473" s="16"/>
      <c r="M1473" s="16"/>
      <c r="N1473" s="16"/>
      <c r="O1473" s="16"/>
      <c r="P1473" s="16"/>
      <c r="Q1473" s="16"/>
      <c r="R1473" s="16"/>
      <c r="S1473" s="16"/>
      <c r="T1473" s="16" t="e">
        <f>#REF!</f>
        <v>#REF!</v>
      </c>
      <c r="U1473" s="16"/>
      <c r="V1473" s="16"/>
      <c r="W1473" s="16"/>
      <c r="X1473" s="16"/>
      <c r="Y1473" s="16">
        <f>Y1461+Y1464+Y1467+Y1470</f>
        <v>68431.11</v>
      </c>
      <c r="Z1473" s="502">
        <f>Z1461+Z1464+Z1467+Z1470</f>
        <v>63450</v>
      </c>
      <c r="AA1473" s="541">
        <f t="shared" ref="AA1473:AC1473" si="1198">AA1461+AA1464+AA1467+AA1470</f>
        <v>57700</v>
      </c>
      <c r="AB1473" s="16">
        <f t="shared" si="1198"/>
        <v>52200</v>
      </c>
      <c r="AC1473" s="16">
        <f t="shared" si="1198"/>
        <v>46700</v>
      </c>
      <c r="AD1473" s="16">
        <f>AD1461+AD1467</f>
        <v>41450</v>
      </c>
      <c r="AE1473" s="16">
        <f t="shared" ref="AE1473:AQ1473" si="1199">AE1461+AE1467</f>
        <v>38200</v>
      </c>
      <c r="AF1473" s="16">
        <f t="shared" si="1199"/>
        <v>34950</v>
      </c>
      <c r="AG1473" s="16">
        <f t="shared" si="1199"/>
        <v>31700</v>
      </c>
      <c r="AH1473" s="16">
        <f t="shared" si="1199"/>
        <v>28450</v>
      </c>
      <c r="AI1473" s="16">
        <f t="shared" si="1199"/>
        <v>25200</v>
      </c>
      <c r="AJ1473" s="16">
        <f t="shared" si="1199"/>
        <v>22600</v>
      </c>
      <c r="AK1473" s="16">
        <f t="shared" si="1199"/>
        <v>20000</v>
      </c>
      <c r="AL1473" s="16">
        <f t="shared" si="1199"/>
        <v>17400</v>
      </c>
      <c r="AM1473" s="16">
        <f t="shared" si="1199"/>
        <v>14800</v>
      </c>
      <c r="AN1473" s="16">
        <f t="shared" si="1199"/>
        <v>12200</v>
      </c>
      <c r="AO1473" s="16">
        <f t="shared" si="1199"/>
        <v>9600</v>
      </c>
      <c r="AP1473" s="16">
        <f t="shared" si="1199"/>
        <v>7000</v>
      </c>
      <c r="AQ1473" s="16">
        <f t="shared" si="1199"/>
        <v>4600</v>
      </c>
      <c r="AR1473" s="16">
        <f t="shared" si="1197"/>
        <v>2200</v>
      </c>
      <c r="AS1473" s="20" t="s">
        <v>11</v>
      </c>
      <c r="AT1473" s="20"/>
    </row>
    <row r="1474" spans="1:46" s="8" customFormat="1" ht="13.8" thickBot="1" x14ac:dyDescent="0.3">
      <c r="A1474" s="122"/>
      <c r="B1474" s="122"/>
      <c r="C1474" s="307"/>
      <c r="D1474" s="91"/>
      <c r="E1474" s="91"/>
      <c r="F1474" s="91"/>
      <c r="G1474" s="355" t="s">
        <v>1336</v>
      </c>
      <c r="H1474" s="91"/>
      <c r="I1474" s="91"/>
      <c r="J1474" s="52" t="s">
        <v>5</v>
      </c>
      <c r="K1474" s="53">
        <f>K1473+K1472</f>
        <v>2108831.11</v>
      </c>
      <c r="L1474" s="46"/>
      <c r="M1474" s="46"/>
      <c r="N1474" s="46"/>
      <c r="O1474" s="46"/>
      <c r="P1474" s="46"/>
      <c r="Q1474" s="46"/>
      <c r="R1474" s="46"/>
      <c r="S1474" s="46"/>
      <c r="T1474" s="46" t="e">
        <f t="shared" ref="T1474" si="1200">T1473+T1472</f>
        <v>#REF!</v>
      </c>
      <c r="U1474" s="46"/>
      <c r="V1474" s="46"/>
      <c r="W1474" s="46"/>
      <c r="X1474" s="46"/>
      <c r="Y1474" s="46">
        <f t="shared" ref="Y1474:AR1474" si="1201">Y1473+Y1472</f>
        <v>183431.11</v>
      </c>
      <c r="Z1474" s="503">
        <f t="shared" si="1201"/>
        <v>178450</v>
      </c>
      <c r="AA1474" s="542">
        <f t="shared" si="1201"/>
        <v>167700</v>
      </c>
      <c r="AB1474" s="46">
        <f t="shared" si="1201"/>
        <v>162200</v>
      </c>
      <c r="AC1474" s="46">
        <f t="shared" si="1201"/>
        <v>151700</v>
      </c>
      <c r="AD1474" s="46">
        <f t="shared" si="1201"/>
        <v>106450</v>
      </c>
      <c r="AE1474" s="46">
        <f t="shared" si="1201"/>
        <v>103200</v>
      </c>
      <c r="AF1474" s="46">
        <f t="shared" si="1201"/>
        <v>99950</v>
      </c>
      <c r="AG1474" s="46">
        <f t="shared" si="1201"/>
        <v>96700</v>
      </c>
      <c r="AH1474" s="46">
        <f t="shared" si="1201"/>
        <v>93450</v>
      </c>
      <c r="AI1474" s="46">
        <f t="shared" si="1201"/>
        <v>90200</v>
      </c>
      <c r="AJ1474" s="46">
        <f t="shared" si="1201"/>
        <v>87600</v>
      </c>
      <c r="AK1474" s="46">
        <f t="shared" si="1201"/>
        <v>85000</v>
      </c>
      <c r="AL1474" s="46">
        <f t="shared" si="1201"/>
        <v>82400</v>
      </c>
      <c r="AM1474" s="46">
        <f t="shared" si="1201"/>
        <v>79800</v>
      </c>
      <c r="AN1474" s="46">
        <f t="shared" si="1201"/>
        <v>77200</v>
      </c>
      <c r="AO1474" s="46">
        <f t="shared" si="1201"/>
        <v>74600</v>
      </c>
      <c r="AP1474" s="46">
        <f t="shared" si="1201"/>
        <v>67000</v>
      </c>
      <c r="AQ1474" s="46">
        <f t="shared" si="1201"/>
        <v>64600</v>
      </c>
      <c r="AR1474" s="46">
        <f t="shared" si="1201"/>
        <v>57200</v>
      </c>
      <c r="AS1474" s="47" t="s">
        <v>11</v>
      </c>
      <c r="AT1474" s="47"/>
    </row>
    <row r="1475" spans="1:46" s="3" customFormat="1" x14ac:dyDescent="0.25">
      <c r="A1475" s="121"/>
      <c r="B1475" s="121"/>
      <c r="C1475" s="306"/>
      <c r="D1475" s="102"/>
      <c r="E1475" s="285"/>
      <c r="F1475" s="102"/>
      <c r="G1475" s="103" t="s">
        <v>1337</v>
      </c>
      <c r="H1475" s="103"/>
      <c r="I1475" s="103"/>
      <c r="J1475" s="104" t="s">
        <v>1</v>
      </c>
      <c r="K1475" s="105">
        <f>K1439+K1457+K1472</f>
        <v>9830000</v>
      </c>
      <c r="L1475" s="7"/>
      <c r="M1475" s="7"/>
      <c r="N1475" s="67"/>
      <c r="O1475" s="67"/>
      <c r="P1475" s="67"/>
      <c r="Q1475" s="67"/>
      <c r="R1475" s="67"/>
      <c r="S1475" s="67"/>
      <c r="T1475" s="67" t="e">
        <f>T1454+#REF!+T1469</f>
        <v>#REF!</v>
      </c>
      <c r="U1475" s="67"/>
      <c r="V1475" s="67"/>
      <c r="W1475" s="67"/>
      <c r="X1475" s="67"/>
      <c r="Y1475" s="67">
        <f t="shared" ref="Y1475:AR1475" si="1202">Y1439+Y1457+Y1472</f>
        <v>575000</v>
      </c>
      <c r="Z1475" s="507">
        <f t="shared" si="1202"/>
        <v>575000</v>
      </c>
      <c r="AA1475" s="546">
        <f t="shared" si="1202"/>
        <v>570000</v>
      </c>
      <c r="AB1475" s="67">
        <f t="shared" si="1202"/>
        <v>565000</v>
      </c>
      <c r="AC1475" s="67">
        <f t="shared" si="1202"/>
        <v>550000</v>
      </c>
      <c r="AD1475" s="67">
        <f t="shared" si="1202"/>
        <v>500000</v>
      </c>
      <c r="AE1475" s="67">
        <f t="shared" si="1202"/>
        <v>500000</v>
      </c>
      <c r="AF1475" s="67">
        <f t="shared" si="1202"/>
        <v>495000</v>
      </c>
      <c r="AG1475" s="67">
        <f t="shared" si="1202"/>
        <v>495000</v>
      </c>
      <c r="AH1475" s="67">
        <f t="shared" si="1202"/>
        <v>495000</v>
      </c>
      <c r="AI1475" s="67">
        <f t="shared" si="1202"/>
        <v>490000</v>
      </c>
      <c r="AJ1475" s="67">
        <f t="shared" si="1202"/>
        <v>490000</v>
      </c>
      <c r="AK1475" s="67">
        <f t="shared" si="1202"/>
        <v>490000</v>
      </c>
      <c r="AL1475" s="67">
        <f t="shared" si="1202"/>
        <v>485000</v>
      </c>
      <c r="AM1475" s="67">
        <f t="shared" si="1202"/>
        <v>485000</v>
      </c>
      <c r="AN1475" s="67">
        <f t="shared" si="1202"/>
        <v>420000</v>
      </c>
      <c r="AO1475" s="67">
        <f t="shared" si="1202"/>
        <v>420000</v>
      </c>
      <c r="AP1475" s="67">
        <f t="shared" si="1202"/>
        <v>415000</v>
      </c>
      <c r="AQ1475" s="67">
        <f t="shared" si="1202"/>
        <v>410000</v>
      </c>
      <c r="AR1475" s="67">
        <f t="shared" si="1202"/>
        <v>405000</v>
      </c>
      <c r="AS1475" s="3" t="s">
        <v>11</v>
      </c>
    </row>
    <row r="1476" spans="1:46" s="3" customFormat="1" ht="13.8" thickBot="1" x14ac:dyDescent="0.3">
      <c r="A1476" s="121"/>
      <c r="B1476" s="121"/>
      <c r="C1476" s="306"/>
      <c r="D1476" s="104"/>
      <c r="E1476" s="285" t="s">
        <v>1346</v>
      </c>
      <c r="F1476" s="104"/>
      <c r="G1476" s="399" t="s">
        <v>1338</v>
      </c>
      <c r="H1476" s="103"/>
      <c r="I1476" s="103"/>
      <c r="J1476" s="106" t="s">
        <v>2</v>
      </c>
      <c r="K1476" s="107">
        <f>K1440+K1458+K1473</f>
        <v>4167539.9999999995</v>
      </c>
      <c r="L1476" s="22"/>
      <c r="M1476" s="22"/>
      <c r="N1476" s="22"/>
      <c r="O1476" s="22"/>
      <c r="P1476" s="22"/>
      <c r="Q1476" s="22"/>
      <c r="R1476" s="22"/>
      <c r="S1476" s="22"/>
      <c r="T1476" s="22" t="e">
        <f>T1455+#REF!+T1470</f>
        <v>#REF!</v>
      </c>
      <c r="U1476" s="22"/>
      <c r="V1476" s="22"/>
      <c r="W1476" s="22"/>
      <c r="X1476" s="22"/>
      <c r="Y1476" s="22">
        <f t="shared" ref="Y1476:AR1476" si="1203">Y1440+Y1458+Y1473</f>
        <v>441440</v>
      </c>
      <c r="Z1476" s="506">
        <f t="shared" si="1203"/>
        <v>417650</v>
      </c>
      <c r="AA1476" s="545">
        <f t="shared" si="1203"/>
        <v>388900</v>
      </c>
      <c r="AB1476" s="22">
        <f t="shared" si="1203"/>
        <v>360400</v>
      </c>
      <c r="AC1476" s="22">
        <f t="shared" si="1203"/>
        <v>332150</v>
      </c>
      <c r="AD1476" s="22">
        <f t="shared" si="1203"/>
        <v>304650</v>
      </c>
      <c r="AE1476" s="22">
        <f t="shared" si="1203"/>
        <v>279650</v>
      </c>
      <c r="AF1476" s="22">
        <f t="shared" si="1203"/>
        <v>254650</v>
      </c>
      <c r="AG1476" s="22">
        <f t="shared" si="1203"/>
        <v>229900</v>
      </c>
      <c r="AH1476" s="22">
        <f t="shared" si="1203"/>
        <v>205150</v>
      </c>
      <c r="AI1476" s="22">
        <f t="shared" si="1203"/>
        <v>180400</v>
      </c>
      <c r="AJ1476" s="22">
        <f t="shared" si="1203"/>
        <v>160800</v>
      </c>
      <c r="AK1476" s="22">
        <f t="shared" si="1203"/>
        <v>141200</v>
      </c>
      <c r="AL1476" s="22">
        <f t="shared" si="1203"/>
        <v>121600</v>
      </c>
      <c r="AM1476" s="22">
        <f t="shared" si="1203"/>
        <v>102200</v>
      </c>
      <c r="AN1476" s="22">
        <f t="shared" si="1203"/>
        <v>82800</v>
      </c>
      <c r="AO1476" s="22">
        <f t="shared" si="1203"/>
        <v>66000</v>
      </c>
      <c r="AP1476" s="22">
        <f t="shared" si="1203"/>
        <v>49200</v>
      </c>
      <c r="AQ1476" s="22">
        <f t="shared" si="1203"/>
        <v>32600</v>
      </c>
      <c r="AR1476" s="22">
        <f t="shared" si="1203"/>
        <v>16200</v>
      </c>
      <c r="AS1476" s="23" t="s">
        <v>11</v>
      </c>
      <c r="AT1476" s="23"/>
    </row>
    <row r="1477" spans="1:46" s="6" customFormat="1" x14ac:dyDescent="0.25">
      <c r="A1477" s="26"/>
      <c r="B1477" s="26"/>
      <c r="C1477" s="306"/>
      <c r="D1477" s="108"/>
      <c r="E1477" s="286" t="s">
        <v>1345</v>
      </c>
      <c r="F1477" s="108"/>
      <c r="G1477" s="287" t="s">
        <v>1347</v>
      </c>
      <c r="H1477" s="103"/>
      <c r="I1477" s="103"/>
      <c r="J1477" s="109" t="s">
        <v>5</v>
      </c>
      <c r="K1477" s="110">
        <f>K1476+K1475</f>
        <v>13997540</v>
      </c>
      <c r="L1477" s="67"/>
      <c r="M1477" s="67"/>
      <c r="N1477" s="282"/>
      <c r="O1477" s="282"/>
      <c r="P1477" s="282"/>
      <c r="Q1477" s="282"/>
      <c r="R1477" s="282"/>
      <c r="S1477" s="282"/>
      <c r="T1477" s="282" t="e">
        <f t="shared" ref="T1477" si="1204">T1476+T1475</f>
        <v>#REF!</v>
      </c>
      <c r="U1477" s="282"/>
      <c r="V1477" s="282"/>
      <c r="W1477" s="282"/>
      <c r="X1477" s="282"/>
      <c r="Y1477" s="282">
        <f t="shared" ref="Y1477:AR1477" si="1205">Y1476+Y1475</f>
        <v>1016440</v>
      </c>
      <c r="Z1477" s="508">
        <f t="shared" si="1205"/>
        <v>992650</v>
      </c>
      <c r="AA1477" s="551">
        <f t="shared" si="1205"/>
        <v>958900</v>
      </c>
      <c r="AB1477" s="282">
        <f t="shared" si="1205"/>
        <v>925400</v>
      </c>
      <c r="AC1477" s="282">
        <f t="shared" si="1205"/>
        <v>882150</v>
      </c>
      <c r="AD1477" s="282">
        <f t="shared" si="1205"/>
        <v>804650</v>
      </c>
      <c r="AE1477" s="282">
        <f t="shared" si="1205"/>
        <v>779650</v>
      </c>
      <c r="AF1477" s="282">
        <f t="shared" si="1205"/>
        <v>749650</v>
      </c>
      <c r="AG1477" s="282">
        <f t="shared" si="1205"/>
        <v>724900</v>
      </c>
      <c r="AH1477" s="282">
        <f t="shared" si="1205"/>
        <v>700150</v>
      </c>
      <c r="AI1477" s="282">
        <f t="shared" si="1205"/>
        <v>670400</v>
      </c>
      <c r="AJ1477" s="282">
        <f t="shared" si="1205"/>
        <v>650800</v>
      </c>
      <c r="AK1477" s="282">
        <f t="shared" si="1205"/>
        <v>631200</v>
      </c>
      <c r="AL1477" s="282">
        <f t="shared" si="1205"/>
        <v>606600</v>
      </c>
      <c r="AM1477" s="282">
        <f t="shared" si="1205"/>
        <v>587200</v>
      </c>
      <c r="AN1477" s="282">
        <f t="shared" si="1205"/>
        <v>502800</v>
      </c>
      <c r="AO1477" s="282">
        <f t="shared" si="1205"/>
        <v>486000</v>
      </c>
      <c r="AP1477" s="282">
        <f t="shared" si="1205"/>
        <v>464200</v>
      </c>
      <c r="AQ1477" s="282">
        <f t="shared" si="1205"/>
        <v>442600</v>
      </c>
      <c r="AR1477" s="282">
        <f t="shared" si="1205"/>
        <v>421200</v>
      </c>
      <c r="AS1477" s="134" t="s">
        <v>11</v>
      </c>
      <c r="AT1477" s="69"/>
    </row>
    <row r="1478" spans="1:46" s="2" customFormat="1" ht="13.8" thickBot="1" x14ac:dyDescent="0.3">
      <c r="A1478" s="119"/>
      <c r="B1478" s="119"/>
      <c r="C1478" s="308"/>
      <c r="D1478" s="49"/>
      <c r="E1478" s="49"/>
      <c r="F1478" s="49"/>
      <c r="G1478" s="128" t="s">
        <v>1369</v>
      </c>
      <c r="H1478" s="128"/>
      <c r="I1478" s="128"/>
      <c r="J1478" s="48"/>
      <c r="K1478" s="96"/>
      <c r="L1478" s="97"/>
      <c r="M1478" s="97"/>
      <c r="N1478" s="97"/>
      <c r="O1478" s="97"/>
      <c r="P1478" s="98"/>
      <c r="Q1478" s="98"/>
      <c r="R1478" s="98"/>
      <c r="S1478" s="383"/>
      <c r="T1478" s="98"/>
      <c r="U1478" s="48"/>
      <c r="V1478" s="48"/>
      <c r="W1478" s="48"/>
      <c r="X1478" s="48"/>
      <c r="Y1478" s="48"/>
      <c r="Z1478" s="48"/>
      <c r="AA1478" s="48"/>
      <c r="AB1478" s="48"/>
      <c r="AC1478" s="48"/>
      <c r="AD1478" s="48"/>
      <c r="AE1478" s="48"/>
      <c r="AF1478" s="48"/>
      <c r="AG1478" s="48"/>
      <c r="AH1478" s="48"/>
      <c r="AI1478" s="48"/>
      <c r="AJ1478" s="48"/>
      <c r="AK1478" s="48"/>
      <c r="AL1478" s="48"/>
      <c r="AM1478" s="48"/>
      <c r="AN1478" s="48"/>
      <c r="AO1478" s="48"/>
      <c r="AP1478" s="48"/>
      <c r="AQ1478" s="48"/>
      <c r="AR1478" s="48"/>
      <c r="AS1478" s="48"/>
      <c r="AT1478" s="48"/>
    </row>
    <row r="1479" spans="1:46" s="446" customFormat="1" x14ac:dyDescent="0.25">
      <c r="A1479" s="26" t="s">
        <v>99</v>
      </c>
      <c r="B1479" s="26" t="s">
        <v>96</v>
      </c>
      <c r="C1479" s="444"/>
      <c r="D1479" s="54" t="s">
        <v>3</v>
      </c>
      <c r="E1479" s="389">
        <v>45783</v>
      </c>
      <c r="F1479" s="572" t="s">
        <v>266</v>
      </c>
      <c r="G1479" s="313" t="s">
        <v>1370</v>
      </c>
      <c r="H1479" s="436">
        <v>31422499</v>
      </c>
      <c r="I1479" s="313">
        <v>586200</v>
      </c>
      <c r="J1479" s="2" t="s">
        <v>1</v>
      </c>
      <c r="K1479" s="27">
        <f>SUM(Z1479:AN1479)</f>
        <v>675000</v>
      </c>
      <c r="L1479" s="4"/>
      <c r="M1479" s="4"/>
      <c r="N1479" s="4"/>
      <c r="O1479" s="4"/>
      <c r="P1479" s="4"/>
      <c r="Q1479" s="453"/>
      <c r="R1479" s="453"/>
      <c r="S1479" s="453"/>
      <c r="T1479" s="453"/>
      <c r="U1479" s="445"/>
      <c r="V1479" s="419"/>
      <c r="W1479" s="457"/>
      <c r="X1479" s="457"/>
      <c r="Y1479" s="457"/>
      <c r="Z1479" s="512">
        <v>45000</v>
      </c>
      <c r="AA1479" s="555">
        <v>45000</v>
      </c>
      <c r="AB1479" s="457">
        <v>45000</v>
      </c>
      <c r="AC1479" s="457">
        <v>45000</v>
      </c>
      <c r="AD1479" s="457">
        <v>45000</v>
      </c>
      <c r="AE1479" s="457">
        <v>45000</v>
      </c>
      <c r="AF1479" s="457">
        <v>45000</v>
      </c>
      <c r="AG1479" s="457">
        <v>45000</v>
      </c>
      <c r="AH1479" s="457">
        <v>45000</v>
      </c>
      <c r="AI1479" s="457">
        <v>45000</v>
      </c>
      <c r="AJ1479" s="457">
        <v>45000</v>
      </c>
      <c r="AK1479" s="457">
        <v>45000</v>
      </c>
      <c r="AL1479" s="457">
        <v>45000</v>
      </c>
      <c r="AM1479" s="457">
        <v>45000</v>
      </c>
      <c r="AN1479" s="457">
        <v>45000</v>
      </c>
      <c r="AO1479" s="2" t="s">
        <v>11</v>
      </c>
      <c r="AP1479" s="445"/>
      <c r="AQ1479" s="445"/>
      <c r="AR1479" s="445"/>
      <c r="AS1479" s="2"/>
      <c r="AT1479" s="2"/>
    </row>
    <row r="1480" spans="1:46" s="446" customFormat="1" x14ac:dyDescent="0.25">
      <c r="A1480" s="400"/>
      <c r="B1480" s="26"/>
      <c r="C1480" s="444"/>
      <c r="D1480" s="54"/>
      <c r="E1480" s="387" t="s">
        <v>12</v>
      </c>
      <c r="F1480" s="35"/>
      <c r="G1480" s="35" t="s">
        <v>1371</v>
      </c>
      <c r="H1480" s="146" t="s">
        <v>1107</v>
      </c>
      <c r="I1480" s="35"/>
      <c r="J1480" s="17" t="s">
        <v>2</v>
      </c>
      <c r="K1480" s="573">
        <v>240312.5</v>
      </c>
      <c r="L1480" s="11"/>
      <c r="M1480" s="11"/>
      <c r="N1480" s="11"/>
      <c r="O1480" s="11"/>
      <c r="P1480" s="4"/>
      <c r="Q1480" s="453"/>
      <c r="R1480" s="453"/>
      <c r="S1480" s="453"/>
      <c r="T1480" s="453"/>
      <c r="U1480" s="445"/>
      <c r="V1480" s="448"/>
      <c r="W1480" s="457"/>
      <c r="X1480" s="457"/>
      <c r="Y1480" s="457"/>
      <c r="Z1480" s="512">
        <f>15312.5+15750</f>
        <v>31062.5</v>
      </c>
      <c r="AA1480" s="555">
        <f>14625+14625</f>
        <v>29250</v>
      </c>
      <c r="AB1480" s="457">
        <f>13500+13500</f>
        <v>27000</v>
      </c>
      <c r="AC1480" s="457">
        <f>12375+12375</f>
        <v>24750</v>
      </c>
      <c r="AD1480" s="457">
        <f>11250+11250</f>
        <v>22500</v>
      </c>
      <c r="AE1480" s="457">
        <f>10125+10125</f>
        <v>20250</v>
      </c>
      <c r="AF1480" s="457">
        <f>9000+9000</f>
        <v>18000</v>
      </c>
      <c r="AG1480" s="457">
        <f>7875+7875</f>
        <v>15750</v>
      </c>
      <c r="AH1480" s="457">
        <f>6750+6750</f>
        <v>13500</v>
      </c>
      <c r="AI1480" s="457">
        <f>5625+5625</f>
        <v>11250</v>
      </c>
      <c r="AJ1480" s="457">
        <f>4500+4500</f>
        <v>9000</v>
      </c>
      <c r="AK1480" s="445">
        <f>3600+3600</f>
        <v>7200</v>
      </c>
      <c r="AL1480" s="445">
        <f>2700+2700</f>
        <v>5400</v>
      </c>
      <c r="AM1480" s="445">
        <f>1800+1800</f>
        <v>3600</v>
      </c>
      <c r="AN1480" s="445">
        <f>900+900</f>
        <v>1800</v>
      </c>
      <c r="AO1480" s="17" t="s">
        <v>11</v>
      </c>
      <c r="AP1480" s="445"/>
      <c r="AQ1480" s="445"/>
      <c r="AR1480" s="445"/>
      <c r="AS1480" s="17"/>
      <c r="AT1480" s="17"/>
    </row>
    <row r="1481" spans="1:46" s="450" customFormat="1" ht="13.8" thickBot="1" x14ac:dyDescent="0.3">
      <c r="A1481" s="120"/>
      <c r="B1481" s="120"/>
      <c r="C1481" s="120"/>
      <c r="D1481" s="85"/>
      <c r="E1481" s="390" t="s">
        <v>15</v>
      </c>
      <c r="F1481" s="574"/>
      <c r="G1481" s="147" t="s">
        <v>1165</v>
      </c>
      <c r="H1481" s="145"/>
      <c r="I1481" s="125"/>
      <c r="J1481" s="575" t="s">
        <v>5</v>
      </c>
      <c r="K1481" s="576">
        <f>K1480+K1479</f>
        <v>915312.5</v>
      </c>
      <c r="L1481" s="43"/>
      <c r="M1481" s="43"/>
      <c r="N1481" s="43"/>
      <c r="O1481" s="43"/>
      <c r="P1481" s="43">
        <f>P1480+P1479</f>
        <v>0</v>
      </c>
      <c r="Q1481" s="414"/>
      <c r="R1481" s="43">
        <f>R1480+R1479</f>
        <v>0</v>
      </c>
      <c r="S1481" s="43">
        <f>S1480+S1479</f>
        <v>0</v>
      </c>
      <c r="T1481" s="43"/>
      <c r="U1481" s="43">
        <f>U1480+U1479</f>
        <v>0</v>
      </c>
      <c r="V1481" s="412"/>
      <c r="W1481" s="412"/>
      <c r="X1481" s="412"/>
      <c r="Y1481" s="412"/>
      <c r="Z1481" s="510">
        <f t="shared" ref="Z1481:AL1481" si="1206">Z1480+Z1479</f>
        <v>76062.5</v>
      </c>
      <c r="AA1481" s="553">
        <f t="shared" si="1206"/>
        <v>74250</v>
      </c>
      <c r="AB1481" s="412">
        <f t="shared" si="1206"/>
        <v>72000</v>
      </c>
      <c r="AC1481" s="412">
        <f t="shared" si="1206"/>
        <v>69750</v>
      </c>
      <c r="AD1481" s="412">
        <f t="shared" si="1206"/>
        <v>67500</v>
      </c>
      <c r="AE1481" s="412">
        <f t="shared" si="1206"/>
        <v>65250</v>
      </c>
      <c r="AF1481" s="412">
        <f t="shared" si="1206"/>
        <v>63000</v>
      </c>
      <c r="AG1481" s="412">
        <f t="shared" si="1206"/>
        <v>60750</v>
      </c>
      <c r="AH1481" s="412">
        <f t="shared" si="1206"/>
        <v>58500</v>
      </c>
      <c r="AI1481" s="412">
        <f t="shared" si="1206"/>
        <v>56250</v>
      </c>
      <c r="AJ1481" s="412">
        <f t="shared" si="1206"/>
        <v>54000</v>
      </c>
      <c r="AK1481" s="412">
        <f t="shared" si="1206"/>
        <v>52200</v>
      </c>
      <c r="AL1481" s="412">
        <f t="shared" si="1206"/>
        <v>50400</v>
      </c>
      <c r="AM1481" s="412">
        <f t="shared" ref="AM1481:AN1481" si="1207">AM1480+AM1479</f>
        <v>48600</v>
      </c>
      <c r="AN1481" s="412">
        <f t="shared" si="1207"/>
        <v>46800</v>
      </c>
      <c r="AO1481" s="41" t="s">
        <v>11</v>
      </c>
      <c r="AP1481" s="412"/>
      <c r="AQ1481" s="412"/>
      <c r="AR1481" s="412"/>
      <c r="AS1481" s="41"/>
      <c r="AT1481" s="41"/>
    </row>
    <row r="1482" spans="1:46" s="446" customFormat="1" x14ac:dyDescent="0.25">
      <c r="A1482" s="380" t="s">
        <v>99</v>
      </c>
      <c r="B1482" s="26" t="s">
        <v>96</v>
      </c>
      <c r="C1482" s="444"/>
      <c r="D1482" s="54" t="s">
        <v>3</v>
      </c>
      <c r="E1482" s="389">
        <v>45783</v>
      </c>
      <c r="F1482" s="572" t="s">
        <v>266</v>
      </c>
      <c r="G1482" s="313" t="s">
        <v>1372</v>
      </c>
      <c r="H1482" s="436">
        <v>31422499</v>
      </c>
      <c r="I1482" s="313">
        <v>584000</v>
      </c>
      <c r="J1482" s="2" t="s">
        <v>1</v>
      </c>
      <c r="K1482" s="27">
        <f>SUM(Z1482:AS1482)</f>
        <v>1465000</v>
      </c>
      <c r="L1482" s="4"/>
      <c r="M1482" s="4"/>
      <c r="N1482" s="4"/>
      <c r="O1482" s="4"/>
      <c r="P1482" s="4"/>
      <c r="Q1482" s="453"/>
      <c r="R1482" s="453"/>
      <c r="S1482" s="453"/>
      <c r="T1482" s="453"/>
      <c r="U1482" s="445"/>
      <c r="V1482" s="419"/>
      <c r="W1482" s="457"/>
      <c r="X1482" s="457"/>
      <c r="Y1482" s="457"/>
      <c r="Z1482" s="512">
        <v>75000</v>
      </c>
      <c r="AA1482" s="555">
        <v>75000</v>
      </c>
      <c r="AB1482" s="457">
        <v>75000</v>
      </c>
      <c r="AC1482" s="457">
        <v>75000</v>
      </c>
      <c r="AD1482" s="457">
        <v>75000</v>
      </c>
      <c r="AE1482" s="457">
        <v>75000</v>
      </c>
      <c r="AF1482" s="457">
        <v>75000</v>
      </c>
      <c r="AG1482" s="457">
        <v>75000</v>
      </c>
      <c r="AH1482" s="457">
        <v>75000</v>
      </c>
      <c r="AI1482" s="457">
        <v>75000</v>
      </c>
      <c r="AJ1482" s="457">
        <v>75000</v>
      </c>
      <c r="AK1482" s="457">
        <v>75000</v>
      </c>
      <c r="AL1482" s="457">
        <v>75000</v>
      </c>
      <c r="AM1482" s="457">
        <v>70000</v>
      </c>
      <c r="AN1482" s="457">
        <v>70000</v>
      </c>
      <c r="AO1482" s="457">
        <v>70000</v>
      </c>
      <c r="AP1482" s="457">
        <v>70000</v>
      </c>
      <c r="AQ1482" s="457">
        <v>70000</v>
      </c>
      <c r="AR1482" s="457">
        <v>70000</v>
      </c>
      <c r="AS1482" s="457">
        <v>70000</v>
      </c>
      <c r="AT1482" s="2" t="s">
        <v>11</v>
      </c>
    </row>
    <row r="1483" spans="1:46" s="446" customFormat="1" x14ac:dyDescent="0.25">
      <c r="A1483" s="400"/>
      <c r="B1483" s="26"/>
      <c r="C1483" s="444"/>
      <c r="D1483" s="54"/>
      <c r="E1483" s="387" t="s">
        <v>12</v>
      </c>
      <c r="F1483" s="35"/>
      <c r="G1483" s="35" t="s">
        <v>1373</v>
      </c>
      <c r="H1483" s="146" t="s">
        <v>1108</v>
      </c>
      <c r="I1483" s="35"/>
      <c r="J1483" s="17" t="s">
        <v>2</v>
      </c>
      <c r="K1483" s="335">
        <v>662882.29</v>
      </c>
      <c r="L1483" s="11"/>
      <c r="M1483" s="11"/>
      <c r="N1483" s="11"/>
      <c r="O1483" s="11"/>
      <c r="P1483" s="4"/>
      <c r="Q1483" s="453"/>
      <c r="R1483" s="453"/>
      <c r="S1483" s="453"/>
      <c r="T1483" s="453"/>
      <c r="U1483" s="445"/>
      <c r="V1483" s="448"/>
      <c r="W1483" s="457"/>
      <c r="X1483" s="457"/>
      <c r="Y1483" s="457"/>
      <c r="Z1483" s="512">
        <f>32557.29+33487.5</f>
        <v>66044.790000000008</v>
      </c>
      <c r="AA1483" s="555">
        <f>31612.5+31612.5</f>
        <v>63225</v>
      </c>
      <c r="AB1483" s="457">
        <f>29737.5+29737.5</f>
        <v>59475</v>
      </c>
      <c r="AC1483" s="457">
        <f>27862.5+27862.5</f>
        <v>55725</v>
      </c>
      <c r="AD1483" s="457">
        <f>25987.5+25987.5</f>
        <v>51975</v>
      </c>
      <c r="AE1483" s="457">
        <f>24112.5+24112.5</f>
        <v>48225</v>
      </c>
      <c r="AF1483" s="457">
        <f>22237.5+22237.5</f>
        <v>44475</v>
      </c>
      <c r="AG1483" s="457">
        <f>20362.5+20362.5</f>
        <v>40725</v>
      </c>
      <c r="AH1483" s="457">
        <f>18487.5+18487.5</f>
        <v>36975</v>
      </c>
      <c r="AI1483" s="457">
        <f>16612.5+16612.5</f>
        <v>33225</v>
      </c>
      <c r="AJ1483" s="457">
        <f>14737.5+14737.5</f>
        <v>29475</v>
      </c>
      <c r="AK1483" s="457">
        <f>13237.5+13237.5</f>
        <v>26475</v>
      </c>
      <c r="AL1483" s="457">
        <f>11737.5+11737.5</f>
        <v>23475</v>
      </c>
      <c r="AM1483" s="457">
        <f>10237.5+10237.5</f>
        <v>20475</v>
      </c>
      <c r="AN1483" s="457">
        <f>8837.5+8837.5</f>
        <v>17675</v>
      </c>
      <c r="AO1483" s="457">
        <f>7437.5+7437.5</f>
        <v>14875</v>
      </c>
      <c r="AP1483" s="457">
        <f>6037.5+6037.5</f>
        <v>12075</v>
      </c>
      <c r="AQ1483" s="457">
        <f>4550+4550</f>
        <v>9100</v>
      </c>
      <c r="AR1483" s="457">
        <f>3062.5+3062.5</f>
        <v>6125</v>
      </c>
      <c r="AS1483" s="457">
        <f>1531.25+1531.25</f>
        <v>3062.5</v>
      </c>
      <c r="AT1483" s="17" t="s">
        <v>11</v>
      </c>
    </row>
    <row r="1484" spans="1:46" s="450" customFormat="1" ht="13.8" thickBot="1" x14ac:dyDescent="0.3">
      <c r="A1484" s="120"/>
      <c r="B1484" s="120"/>
      <c r="C1484" s="120"/>
      <c r="D1484" s="85"/>
      <c r="E1484" s="390" t="s">
        <v>40</v>
      </c>
      <c r="F1484" s="574"/>
      <c r="G1484" s="141" t="s">
        <v>1145</v>
      </c>
      <c r="H1484" s="145"/>
      <c r="I1484" s="125"/>
      <c r="J1484" s="575" t="s">
        <v>5</v>
      </c>
      <c r="K1484" s="576">
        <f>K1483+K1482</f>
        <v>2127882.29</v>
      </c>
      <c r="L1484" s="43"/>
      <c r="M1484" s="43"/>
      <c r="N1484" s="43"/>
      <c r="O1484" s="43"/>
      <c r="P1484" s="43">
        <f>P1483+P1482</f>
        <v>0</v>
      </c>
      <c r="Q1484" s="414"/>
      <c r="R1484" s="43">
        <f>R1483+R1482</f>
        <v>0</v>
      </c>
      <c r="S1484" s="43">
        <f>S1483+S1482</f>
        <v>0</v>
      </c>
      <c r="T1484" s="43"/>
      <c r="U1484" s="43">
        <f>U1483+U1482</f>
        <v>0</v>
      </c>
      <c r="V1484" s="412"/>
      <c r="W1484" s="412"/>
      <c r="X1484" s="412"/>
      <c r="Y1484" s="412"/>
      <c r="Z1484" s="510">
        <f>Z1483+Z1482</f>
        <v>141044.79</v>
      </c>
      <c r="AA1484" s="553">
        <f>AA1483+AA1482</f>
        <v>138225</v>
      </c>
      <c r="AB1484" s="412">
        <f t="shared" ref="AB1484:AM1484" si="1208">AB1483+AB1482</f>
        <v>134475</v>
      </c>
      <c r="AC1484" s="412">
        <f t="shared" si="1208"/>
        <v>130725</v>
      </c>
      <c r="AD1484" s="412">
        <f t="shared" si="1208"/>
        <v>126975</v>
      </c>
      <c r="AE1484" s="412">
        <f t="shared" si="1208"/>
        <v>123225</v>
      </c>
      <c r="AF1484" s="412">
        <f t="shared" si="1208"/>
        <v>119475</v>
      </c>
      <c r="AG1484" s="412">
        <f t="shared" si="1208"/>
        <v>115725</v>
      </c>
      <c r="AH1484" s="412">
        <f t="shared" si="1208"/>
        <v>111975</v>
      </c>
      <c r="AI1484" s="412">
        <f t="shared" si="1208"/>
        <v>108225</v>
      </c>
      <c r="AJ1484" s="412">
        <f t="shared" si="1208"/>
        <v>104475</v>
      </c>
      <c r="AK1484" s="412">
        <f t="shared" si="1208"/>
        <v>101475</v>
      </c>
      <c r="AL1484" s="412">
        <f t="shared" si="1208"/>
        <v>98475</v>
      </c>
      <c r="AM1484" s="412">
        <f t="shared" si="1208"/>
        <v>90475</v>
      </c>
      <c r="AN1484" s="412">
        <f t="shared" ref="AN1484:AR1484" si="1209">AN1483+AN1482</f>
        <v>87675</v>
      </c>
      <c r="AO1484" s="412">
        <f t="shared" si="1209"/>
        <v>84875</v>
      </c>
      <c r="AP1484" s="412">
        <f t="shared" si="1209"/>
        <v>82075</v>
      </c>
      <c r="AQ1484" s="412">
        <f t="shared" si="1209"/>
        <v>79100</v>
      </c>
      <c r="AR1484" s="412">
        <f t="shared" si="1209"/>
        <v>76125</v>
      </c>
      <c r="AS1484" s="412">
        <f t="shared" ref="AS1484" si="1210">AS1483+AS1482</f>
        <v>73062.5</v>
      </c>
      <c r="AT1484" s="41" t="s">
        <v>11</v>
      </c>
    </row>
    <row r="1485" spans="1:46" s="446" customFormat="1" x14ac:dyDescent="0.25">
      <c r="A1485" s="380" t="s">
        <v>95</v>
      </c>
      <c r="B1485" s="26" t="s">
        <v>96</v>
      </c>
      <c r="C1485" s="444"/>
      <c r="D1485" s="54" t="s">
        <v>3</v>
      </c>
      <c r="E1485" s="389">
        <v>45783</v>
      </c>
      <c r="F1485" s="572" t="s">
        <v>266</v>
      </c>
      <c r="G1485" s="318" t="s">
        <v>1374</v>
      </c>
      <c r="H1485" s="429">
        <v>31300499</v>
      </c>
      <c r="I1485" s="318">
        <v>582017</v>
      </c>
      <c r="J1485" s="2" t="s">
        <v>1</v>
      </c>
      <c r="K1485" s="577">
        <v>720000</v>
      </c>
      <c r="L1485" s="4"/>
      <c r="M1485" s="4"/>
      <c r="N1485" s="4"/>
      <c r="O1485" s="4"/>
      <c r="P1485" s="4"/>
      <c r="Q1485" s="453"/>
      <c r="R1485" s="453"/>
      <c r="S1485" s="453"/>
      <c r="T1485" s="453"/>
      <c r="U1485" s="445"/>
      <c r="V1485" s="420"/>
      <c r="W1485" s="445"/>
      <c r="X1485" s="445"/>
      <c r="Y1485" s="445"/>
      <c r="Z1485" s="513">
        <v>50000</v>
      </c>
      <c r="AA1485" s="556">
        <v>50000</v>
      </c>
      <c r="AB1485" s="445">
        <v>50000</v>
      </c>
      <c r="AC1485" s="445">
        <v>50000</v>
      </c>
      <c r="AD1485" s="445">
        <v>50000</v>
      </c>
      <c r="AE1485" s="445">
        <v>50000</v>
      </c>
      <c r="AF1485" s="445">
        <v>50000</v>
      </c>
      <c r="AG1485" s="445">
        <v>50000</v>
      </c>
      <c r="AH1485" s="445">
        <v>50000</v>
      </c>
      <c r="AI1485" s="445">
        <v>45000</v>
      </c>
      <c r="AJ1485" s="445">
        <v>45000</v>
      </c>
      <c r="AK1485" s="445">
        <v>45000</v>
      </c>
      <c r="AL1485" s="445">
        <v>45000</v>
      </c>
      <c r="AM1485" s="445">
        <v>45000</v>
      </c>
      <c r="AN1485" s="445">
        <v>45000</v>
      </c>
      <c r="AO1485" s="2" t="s">
        <v>11</v>
      </c>
      <c r="AP1485" s="445"/>
      <c r="AQ1485" s="445"/>
      <c r="AR1485" s="445"/>
      <c r="AS1485" s="2"/>
      <c r="AT1485" s="2"/>
    </row>
    <row r="1486" spans="1:46" s="446" customFormat="1" x14ac:dyDescent="0.25">
      <c r="A1486" s="400"/>
      <c r="B1486" s="26"/>
      <c r="C1486" s="444"/>
      <c r="D1486" s="54"/>
      <c r="E1486" s="387" t="s">
        <v>12</v>
      </c>
      <c r="F1486" s="35"/>
      <c r="G1486" s="35" t="s">
        <v>1375</v>
      </c>
      <c r="H1486" s="146" t="s">
        <v>1107</v>
      </c>
      <c r="I1486" s="35"/>
      <c r="J1486" s="17" t="s">
        <v>2</v>
      </c>
      <c r="K1486" s="573">
        <v>251531.25</v>
      </c>
      <c r="L1486" s="11"/>
      <c r="M1486" s="11"/>
      <c r="N1486" s="11"/>
      <c r="O1486" s="11"/>
      <c r="P1486" s="4"/>
      <c r="Q1486" s="453"/>
      <c r="R1486" s="453"/>
      <c r="S1486" s="453"/>
      <c r="T1486" s="453"/>
      <c r="U1486" s="445"/>
      <c r="V1486" s="420"/>
      <c r="W1486" s="445"/>
      <c r="X1486" s="445"/>
      <c r="Y1486" s="445"/>
      <c r="Z1486" s="513">
        <f>16406.25+16875</f>
        <v>33281.25</v>
      </c>
      <c r="AA1486" s="556">
        <f>15625+15625</f>
        <v>31250</v>
      </c>
      <c r="AB1486" s="445">
        <f>14375+14375</f>
        <v>28750</v>
      </c>
      <c r="AC1486" s="445">
        <f>13125+13125</f>
        <v>26250</v>
      </c>
      <c r="AD1486" s="445">
        <f>11875+11875</f>
        <v>23750</v>
      </c>
      <c r="AE1486" s="445">
        <f>10625+10625</f>
        <v>21250</v>
      </c>
      <c r="AF1486" s="445">
        <f>9375+9375</f>
        <v>18750</v>
      </c>
      <c r="AG1486" s="445">
        <f>8125+8125</f>
        <v>16250</v>
      </c>
      <c r="AH1486" s="445">
        <f>6875+6875</f>
        <v>13750</v>
      </c>
      <c r="AI1486" s="445">
        <f>5625+5625</f>
        <v>11250</v>
      </c>
      <c r="AJ1486" s="445">
        <f>4500+4500</f>
        <v>9000</v>
      </c>
      <c r="AK1486" s="445">
        <f>3600+3600</f>
        <v>7200</v>
      </c>
      <c r="AL1486" s="445">
        <f>2700+2700</f>
        <v>5400</v>
      </c>
      <c r="AM1486" s="445">
        <f>1800+1800</f>
        <v>3600</v>
      </c>
      <c r="AN1486" s="445">
        <f>900+900</f>
        <v>1800</v>
      </c>
      <c r="AO1486" s="17" t="s">
        <v>11</v>
      </c>
      <c r="AP1486" s="445"/>
      <c r="AQ1486" s="445"/>
      <c r="AR1486" s="445"/>
      <c r="AS1486" s="17"/>
      <c r="AT1486" s="17"/>
    </row>
    <row r="1487" spans="1:46" s="450" customFormat="1" ht="13.8" thickBot="1" x14ac:dyDescent="0.3">
      <c r="A1487" s="120"/>
      <c r="B1487" s="120"/>
      <c r="C1487" s="120"/>
      <c r="D1487" s="85"/>
      <c r="E1487" s="390" t="s">
        <v>1183</v>
      </c>
      <c r="F1487" s="574"/>
      <c r="G1487" s="141" t="s">
        <v>1154</v>
      </c>
      <c r="H1487" s="145"/>
      <c r="I1487" s="125"/>
      <c r="J1487" s="575" t="s">
        <v>5</v>
      </c>
      <c r="K1487" s="576">
        <f>K1486+K1485</f>
        <v>971531.25</v>
      </c>
      <c r="L1487" s="43"/>
      <c r="M1487" s="43"/>
      <c r="N1487" s="43"/>
      <c r="O1487" s="43"/>
      <c r="P1487" s="43">
        <f>P1486+P1485</f>
        <v>0</v>
      </c>
      <c r="Q1487" s="414"/>
      <c r="R1487" s="43">
        <f>R1486+R1485</f>
        <v>0</v>
      </c>
      <c r="S1487" s="43">
        <f>S1486+S1485</f>
        <v>0</v>
      </c>
      <c r="T1487" s="43"/>
      <c r="U1487" s="43">
        <f t="shared" ref="U1487" si="1211">U1486+U1485</f>
        <v>0</v>
      </c>
      <c r="V1487" s="412"/>
      <c r="W1487" s="412"/>
      <c r="X1487" s="412"/>
      <c r="Y1487" s="412"/>
      <c r="Z1487" s="510">
        <f t="shared" ref="Z1487:AB1487" si="1212">Z1486+Z1485</f>
        <v>83281.25</v>
      </c>
      <c r="AA1487" s="553">
        <f t="shared" si="1212"/>
        <v>81250</v>
      </c>
      <c r="AB1487" s="412">
        <f t="shared" si="1212"/>
        <v>78750</v>
      </c>
      <c r="AC1487" s="412">
        <f t="shared" ref="AC1487:AN1487" si="1213">AC1486+AC1485</f>
        <v>76250</v>
      </c>
      <c r="AD1487" s="412">
        <f t="shared" si="1213"/>
        <v>73750</v>
      </c>
      <c r="AE1487" s="412">
        <f t="shared" si="1213"/>
        <v>71250</v>
      </c>
      <c r="AF1487" s="412">
        <f t="shared" si="1213"/>
        <v>68750</v>
      </c>
      <c r="AG1487" s="412">
        <f t="shared" si="1213"/>
        <v>66250</v>
      </c>
      <c r="AH1487" s="412">
        <f t="shared" si="1213"/>
        <v>63750</v>
      </c>
      <c r="AI1487" s="412">
        <f t="shared" si="1213"/>
        <v>56250</v>
      </c>
      <c r="AJ1487" s="412">
        <f t="shared" si="1213"/>
        <v>54000</v>
      </c>
      <c r="AK1487" s="412">
        <f t="shared" si="1213"/>
        <v>52200</v>
      </c>
      <c r="AL1487" s="412">
        <f t="shared" si="1213"/>
        <v>50400</v>
      </c>
      <c r="AM1487" s="412">
        <f t="shared" si="1213"/>
        <v>48600</v>
      </c>
      <c r="AN1487" s="412">
        <f t="shared" si="1213"/>
        <v>46800</v>
      </c>
      <c r="AO1487" s="41" t="s">
        <v>11</v>
      </c>
      <c r="AP1487" s="412"/>
      <c r="AQ1487" s="412"/>
      <c r="AR1487" s="412"/>
      <c r="AS1487" s="41"/>
      <c r="AT1487" s="41"/>
    </row>
    <row r="1488" spans="1:46" s="3" customFormat="1" x14ac:dyDescent="0.25">
      <c r="A1488" s="121"/>
      <c r="B1488" s="121"/>
      <c r="C1488" s="306"/>
      <c r="D1488" s="54"/>
      <c r="E1488" s="54"/>
      <c r="F1488" s="54"/>
      <c r="G1488" s="36" t="s">
        <v>32</v>
      </c>
      <c r="H1488" s="152">
        <v>1775119</v>
      </c>
      <c r="I1488" s="36">
        <v>591100</v>
      </c>
      <c r="J1488" s="33" t="s">
        <v>1</v>
      </c>
      <c r="K1488" s="37">
        <f>K1479+K1482+K1485</f>
        <v>2860000</v>
      </c>
      <c r="L1488" s="7"/>
      <c r="M1488" s="7"/>
      <c r="N1488" s="67"/>
      <c r="O1488" s="67"/>
      <c r="P1488" s="67"/>
      <c r="Q1488" s="67"/>
      <c r="R1488" s="67"/>
      <c r="S1488" s="67"/>
      <c r="T1488" s="67" t="e">
        <f>#REF!+#REF!+#REF!+#REF!+#REF!+#REF!+#REF!+#REF!+#REF!+#REF!+#REF!+#REF!+#REF!+#REF!</f>
        <v>#REF!</v>
      </c>
      <c r="U1488" s="67"/>
      <c r="V1488" s="67"/>
      <c r="W1488" s="67"/>
      <c r="X1488" s="67"/>
      <c r="Y1488" s="67"/>
      <c r="Z1488" s="507">
        <f t="shared" ref="Z1488:AB1488" si="1214">Z1479+Z1482+Z1485</f>
        <v>170000</v>
      </c>
      <c r="AA1488" s="546">
        <f t="shared" si="1214"/>
        <v>170000</v>
      </c>
      <c r="AB1488" s="67">
        <f t="shared" si="1214"/>
        <v>170000</v>
      </c>
      <c r="AC1488" s="67">
        <f t="shared" ref="AC1488:AM1488" si="1215">AC1479+AC1482+AC1485</f>
        <v>170000</v>
      </c>
      <c r="AD1488" s="67">
        <f t="shared" si="1215"/>
        <v>170000</v>
      </c>
      <c r="AE1488" s="67">
        <f t="shared" si="1215"/>
        <v>170000</v>
      </c>
      <c r="AF1488" s="67">
        <f t="shared" si="1215"/>
        <v>170000</v>
      </c>
      <c r="AG1488" s="67">
        <f t="shared" si="1215"/>
        <v>170000</v>
      </c>
      <c r="AH1488" s="67">
        <f t="shared" si="1215"/>
        <v>170000</v>
      </c>
      <c r="AI1488" s="67">
        <f t="shared" si="1215"/>
        <v>165000</v>
      </c>
      <c r="AJ1488" s="67">
        <f t="shared" si="1215"/>
        <v>165000</v>
      </c>
      <c r="AK1488" s="67">
        <f t="shared" si="1215"/>
        <v>165000</v>
      </c>
      <c r="AL1488" s="67">
        <f t="shared" si="1215"/>
        <v>165000</v>
      </c>
      <c r="AM1488" s="67">
        <f t="shared" si="1215"/>
        <v>160000</v>
      </c>
      <c r="AN1488" s="67">
        <f>AN1479+AN1485</f>
        <v>90000</v>
      </c>
      <c r="AO1488" s="67">
        <f t="shared" ref="AO1488:AS1489" si="1216">AO1482</f>
        <v>70000</v>
      </c>
      <c r="AP1488" s="67">
        <f t="shared" si="1216"/>
        <v>70000</v>
      </c>
      <c r="AQ1488" s="67">
        <f t="shared" si="1216"/>
        <v>70000</v>
      </c>
      <c r="AR1488" s="67">
        <f t="shared" si="1216"/>
        <v>70000</v>
      </c>
      <c r="AS1488" s="67">
        <f t="shared" si="1216"/>
        <v>70000</v>
      </c>
      <c r="AT1488" s="3" t="s">
        <v>11</v>
      </c>
    </row>
    <row r="1489" spans="1:46" s="3" customFormat="1" x14ac:dyDescent="0.25">
      <c r="A1489" s="121"/>
      <c r="B1489" s="121"/>
      <c r="C1489" s="306"/>
      <c r="D1489" s="54"/>
      <c r="E1489" s="54"/>
      <c r="F1489" s="54"/>
      <c r="G1489" s="33"/>
      <c r="H1489" s="152">
        <v>1775119</v>
      </c>
      <c r="I1489" s="33">
        <v>595100</v>
      </c>
      <c r="J1489" s="38" t="s">
        <v>2</v>
      </c>
      <c r="K1489" s="37">
        <f>K1480+K1483+K1486</f>
        <v>1154726.04</v>
      </c>
      <c r="L1489" s="16"/>
      <c r="M1489" s="16"/>
      <c r="N1489" s="7"/>
      <c r="O1489" s="7"/>
      <c r="P1489" s="7"/>
      <c r="Q1489" s="7"/>
      <c r="R1489" s="7"/>
      <c r="S1489" s="7"/>
      <c r="T1489" s="7" t="e">
        <f>#REF!+#REF!+#REF!+#REF!+#REF!+#REF!+#REF!+#REF!+#REF!+#REF!+#REF!+#REF!+#REF!+#REF!</f>
        <v>#REF!</v>
      </c>
      <c r="U1489" s="7"/>
      <c r="V1489" s="7"/>
      <c r="W1489" s="7"/>
      <c r="X1489" s="7"/>
      <c r="Y1489" s="7"/>
      <c r="Z1489" s="501">
        <f t="shared" ref="Z1489:AN1489" si="1217">Z1480+Z1483+Z1486</f>
        <v>130388.54000000001</v>
      </c>
      <c r="AA1489" s="540">
        <f t="shared" si="1217"/>
        <v>123725</v>
      </c>
      <c r="AB1489" s="7">
        <f t="shared" si="1217"/>
        <v>115225</v>
      </c>
      <c r="AC1489" s="7">
        <f t="shared" si="1217"/>
        <v>106725</v>
      </c>
      <c r="AD1489" s="7">
        <f t="shared" si="1217"/>
        <v>98225</v>
      </c>
      <c r="AE1489" s="7">
        <f t="shared" si="1217"/>
        <v>89725</v>
      </c>
      <c r="AF1489" s="7">
        <f t="shared" si="1217"/>
        <v>81225</v>
      </c>
      <c r="AG1489" s="7">
        <f t="shared" si="1217"/>
        <v>72725</v>
      </c>
      <c r="AH1489" s="7">
        <f t="shared" si="1217"/>
        <v>64225</v>
      </c>
      <c r="AI1489" s="7">
        <f t="shared" si="1217"/>
        <v>55725</v>
      </c>
      <c r="AJ1489" s="7">
        <f t="shared" si="1217"/>
        <v>47475</v>
      </c>
      <c r="AK1489" s="7">
        <f t="shared" si="1217"/>
        <v>40875</v>
      </c>
      <c r="AL1489" s="7">
        <f t="shared" si="1217"/>
        <v>34275</v>
      </c>
      <c r="AM1489" s="7">
        <f t="shared" si="1217"/>
        <v>27675</v>
      </c>
      <c r="AN1489" s="7">
        <f t="shared" si="1217"/>
        <v>21275</v>
      </c>
      <c r="AO1489" s="7">
        <f t="shared" si="1216"/>
        <v>14875</v>
      </c>
      <c r="AP1489" s="7">
        <f t="shared" si="1216"/>
        <v>12075</v>
      </c>
      <c r="AQ1489" s="7">
        <f t="shared" si="1216"/>
        <v>9100</v>
      </c>
      <c r="AR1489" s="7">
        <f t="shared" si="1216"/>
        <v>6125</v>
      </c>
      <c r="AS1489" s="7">
        <f t="shared" si="1216"/>
        <v>3062.5</v>
      </c>
      <c r="AT1489" s="20" t="s">
        <v>11</v>
      </c>
    </row>
    <row r="1490" spans="1:46" s="8" customFormat="1" ht="13.8" thickBot="1" x14ac:dyDescent="0.3">
      <c r="A1490" s="122"/>
      <c r="B1490" s="122"/>
      <c r="C1490" s="307"/>
      <c r="D1490" s="85"/>
      <c r="E1490" s="85"/>
      <c r="F1490" s="85"/>
      <c r="G1490" s="141" t="s">
        <v>1376</v>
      </c>
      <c r="H1490" s="85"/>
      <c r="I1490" s="85"/>
      <c r="J1490" s="44" t="s">
        <v>5</v>
      </c>
      <c r="K1490" s="45">
        <f>K1489+K1488</f>
        <v>4014726.04</v>
      </c>
      <c r="L1490" s="46"/>
      <c r="M1490" s="46"/>
      <c r="N1490" s="46"/>
      <c r="O1490" s="46"/>
      <c r="P1490" s="46"/>
      <c r="Q1490" s="46"/>
      <c r="R1490" s="46"/>
      <c r="S1490" s="46"/>
      <c r="T1490" s="46" t="e">
        <f t="shared" ref="T1490" si="1218">T1489+T1488</f>
        <v>#REF!</v>
      </c>
      <c r="U1490" s="46"/>
      <c r="V1490" s="46"/>
      <c r="W1490" s="46"/>
      <c r="X1490" s="46"/>
      <c r="Y1490" s="46"/>
      <c r="Z1490" s="503">
        <f t="shared" ref="Z1490:AB1490" si="1219">Z1489+Z1488</f>
        <v>300388.54000000004</v>
      </c>
      <c r="AA1490" s="542">
        <f t="shared" si="1219"/>
        <v>293725</v>
      </c>
      <c r="AB1490" s="46">
        <f t="shared" si="1219"/>
        <v>285225</v>
      </c>
      <c r="AC1490" s="46">
        <f t="shared" ref="AC1490:AN1490" si="1220">AC1489+AC1488</f>
        <v>276725</v>
      </c>
      <c r="AD1490" s="46">
        <f t="shared" si="1220"/>
        <v>268225</v>
      </c>
      <c r="AE1490" s="46">
        <f t="shared" si="1220"/>
        <v>259725</v>
      </c>
      <c r="AF1490" s="46">
        <f t="shared" si="1220"/>
        <v>251225</v>
      </c>
      <c r="AG1490" s="46">
        <f t="shared" si="1220"/>
        <v>242725</v>
      </c>
      <c r="AH1490" s="46">
        <f t="shared" si="1220"/>
        <v>234225</v>
      </c>
      <c r="AI1490" s="46">
        <f t="shared" si="1220"/>
        <v>220725</v>
      </c>
      <c r="AJ1490" s="46">
        <f t="shared" si="1220"/>
        <v>212475</v>
      </c>
      <c r="AK1490" s="46">
        <f t="shared" si="1220"/>
        <v>205875</v>
      </c>
      <c r="AL1490" s="46">
        <f t="shared" si="1220"/>
        <v>199275</v>
      </c>
      <c r="AM1490" s="46">
        <f t="shared" si="1220"/>
        <v>187675</v>
      </c>
      <c r="AN1490" s="46">
        <f t="shared" si="1220"/>
        <v>111275</v>
      </c>
      <c r="AO1490" s="46">
        <f t="shared" ref="AO1490:AR1490" si="1221">AO1489+AO1488</f>
        <v>84875</v>
      </c>
      <c r="AP1490" s="46">
        <f t="shared" si="1221"/>
        <v>82075</v>
      </c>
      <c r="AQ1490" s="46">
        <f t="shared" si="1221"/>
        <v>79100</v>
      </c>
      <c r="AR1490" s="46">
        <f t="shared" si="1221"/>
        <v>76125</v>
      </c>
      <c r="AS1490" s="46">
        <f t="shared" ref="AS1490" si="1222">AS1489+AS1488</f>
        <v>73062.5</v>
      </c>
      <c r="AT1490" s="47" t="s">
        <v>11</v>
      </c>
    </row>
    <row r="1491" spans="1:46" s="446" customFormat="1" x14ac:dyDescent="0.25">
      <c r="A1491" s="380" t="s">
        <v>0</v>
      </c>
      <c r="B1491" s="26" t="s">
        <v>96</v>
      </c>
      <c r="C1491" s="26"/>
      <c r="D1491" s="332" t="s">
        <v>0</v>
      </c>
      <c r="E1491" s="466">
        <v>45783</v>
      </c>
      <c r="F1491" s="24" t="s">
        <v>266</v>
      </c>
      <c r="G1491" s="315" t="s">
        <v>1377</v>
      </c>
      <c r="H1491" s="472">
        <v>60314105</v>
      </c>
      <c r="I1491" s="472">
        <v>587005</v>
      </c>
      <c r="J1491" s="2" t="s">
        <v>1</v>
      </c>
      <c r="K1491" s="452">
        <v>190000</v>
      </c>
      <c r="L1491" s="4"/>
      <c r="M1491" s="4"/>
      <c r="N1491" s="4"/>
      <c r="O1491" s="4"/>
      <c r="P1491" s="4"/>
      <c r="Q1491" s="445">
        <v>35000</v>
      </c>
      <c r="R1491" s="445">
        <v>35000</v>
      </c>
      <c r="S1491" s="453"/>
      <c r="T1491" s="453"/>
      <c r="U1491" s="445"/>
      <c r="V1491" s="419"/>
      <c r="W1491" s="445"/>
      <c r="X1491" s="445"/>
      <c r="Y1491" s="445"/>
      <c r="Z1491" s="513">
        <v>20000</v>
      </c>
      <c r="AA1491" s="556">
        <v>20000</v>
      </c>
      <c r="AB1491" s="445">
        <v>20000</v>
      </c>
      <c r="AC1491" s="445">
        <v>20000</v>
      </c>
      <c r="AD1491" s="445">
        <v>20000</v>
      </c>
      <c r="AE1491" s="445">
        <v>20000</v>
      </c>
      <c r="AF1491" s="445">
        <v>20000</v>
      </c>
      <c r="AG1491" s="445">
        <v>20000</v>
      </c>
      <c r="AH1491" s="445">
        <v>15000</v>
      </c>
      <c r="AI1491" s="445">
        <v>15000</v>
      </c>
      <c r="AJ1491" s="2" t="s">
        <v>11</v>
      </c>
      <c r="AK1491" s="445"/>
      <c r="AL1491" s="445"/>
      <c r="AM1491" s="445"/>
      <c r="AN1491" s="445"/>
      <c r="AO1491" s="445"/>
      <c r="AP1491" s="445"/>
      <c r="AQ1491" s="445"/>
      <c r="AR1491" s="445"/>
      <c r="AS1491" s="445"/>
      <c r="AT1491" s="4"/>
    </row>
    <row r="1492" spans="1:46" s="446" customFormat="1" x14ac:dyDescent="0.25">
      <c r="A1492" s="400"/>
      <c r="B1492" s="26"/>
      <c r="C1492" s="26"/>
      <c r="D1492" s="578"/>
      <c r="E1492" s="24" t="s">
        <v>12</v>
      </c>
      <c r="F1492" s="15"/>
      <c r="G1492" s="148" t="s">
        <v>1378</v>
      </c>
      <c r="H1492" s="148" t="s">
        <v>1105</v>
      </c>
      <c r="I1492" s="148"/>
      <c r="J1492" s="17" t="s">
        <v>2</v>
      </c>
      <c r="K1492" s="447">
        <v>50118.06</v>
      </c>
      <c r="L1492" s="11"/>
      <c r="M1492" s="11"/>
      <c r="N1492" s="11"/>
      <c r="O1492" s="11"/>
      <c r="P1492" s="11"/>
      <c r="Q1492" s="445">
        <v>41013</v>
      </c>
      <c r="R1492" s="445">
        <v>39525</v>
      </c>
      <c r="S1492" s="453"/>
      <c r="T1492" s="453"/>
      <c r="U1492" s="445"/>
      <c r="V1492" s="419"/>
      <c r="W1492" s="445"/>
      <c r="X1492" s="445"/>
      <c r="Y1492" s="445"/>
      <c r="Z1492" s="513">
        <f>4618.06+4750</f>
        <v>9368.0600000000013</v>
      </c>
      <c r="AA1492" s="556">
        <f>4250+4250</f>
        <v>8500</v>
      </c>
      <c r="AB1492" s="445">
        <f>3750+3750</f>
        <v>7500</v>
      </c>
      <c r="AC1492" s="445">
        <f>3250+3250</f>
        <v>6500</v>
      </c>
      <c r="AD1492" s="445">
        <f>2750+2750</f>
        <v>5500</v>
      </c>
      <c r="AE1492" s="445">
        <f>2250+2250</f>
        <v>4500</v>
      </c>
      <c r="AF1492" s="445">
        <f>1750+1750</f>
        <v>3500</v>
      </c>
      <c r="AG1492" s="445">
        <f>1250+1250</f>
        <v>2500</v>
      </c>
      <c r="AH1492" s="445">
        <f>750+750</f>
        <v>1500</v>
      </c>
      <c r="AI1492" s="445">
        <f>375+375</f>
        <v>750</v>
      </c>
      <c r="AJ1492" s="17" t="s">
        <v>11</v>
      </c>
      <c r="AK1492" s="445"/>
      <c r="AL1492" s="445"/>
      <c r="AM1492" s="445"/>
      <c r="AN1492" s="445"/>
      <c r="AO1492" s="445"/>
      <c r="AP1492" s="445"/>
      <c r="AQ1492" s="445"/>
      <c r="AR1492" s="445"/>
      <c r="AS1492" s="445"/>
      <c r="AT1492" s="11"/>
    </row>
    <row r="1493" spans="1:46" s="450" customFormat="1" ht="13.8" thickBot="1" x14ac:dyDescent="0.3">
      <c r="A1493" s="120"/>
      <c r="B1493" s="120"/>
      <c r="C1493" s="120"/>
      <c r="D1493" s="579"/>
      <c r="E1493" s="88" t="s">
        <v>14</v>
      </c>
      <c r="F1493" s="579"/>
      <c r="G1493" s="149" t="s">
        <v>931</v>
      </c>
      <c r="H1493" s="143"/>
      <c r="I1493" s="143"/>
      <c r="J1493" s="450" t="s">
        <v>5</v>
      </c>
      <c r="K1493" s="451">
        <f>K1492+K1491</f>
        <v>240118.06</v>
      </c>
      <c r="L1493" s="43"/>
      <c r="M1493" s="43"/>
      <c r="N1493" s="43"/>
      <c r="O1493" s="43"/>
      <c r="P1493" s="43"/>
      <c r="Q1493" s="413">
        <f>Q1492+Q1491</f>
        <v>76013</v>
      </c>
      <c r="R1493" s="413">
        <f>R1492+R1491</f>
        <v>74525</v>
      </c>
      <c r="S1493" s="43">
        <f>S1492+S1491</f>
        <v>0</v>
      </c>
      <c r="T1493" s="43"/>
      <c r="U1493" s="413">
        <f t="shared" ref="U1493" si="1223">U1492+U1491</f>
        <v>0</v>
      </c>
      <c r="V1493" s="412"/>
      <c r="W1493" s="412"/>
      <c r="X1493" s="412"/>
      <c r="Y1493" s="412"/>
      <c r="Z1493" s="510">
        <f t="shared" ref="Z1493:AI1493" si="1224">Z1492+Z1491</f>
        <v>29368.06</v>
      </c>
      <c r="AA1493" s="553">
        <f t="shared" si="1224"/>
        <v>28500</v>
      </c>
      <c r="AB1493" s="412">
        <f t="shared" si="1224"/>
        <v>27500</v>
      </c>
      <c r="AC1493" s="412">
        <f t="shared" si="1224"/>
        <v>26500</v>
      </c>
      <c r="AD1493" s="412">
        <f t="shared" si="1224"/>
        <v>25500</v>
      </c>
      <c r="AE1493" s="412">
        <f t="shared" si="1224"/>
        <v>24500</v>
      </c>
      <c r="AF1493" s="412">
        <f t="shared" si="1224"/>
        <v>23500</v>
      </c>
      <c r="AG1493" s="412">
        <f t="shared" si="1224"/>
        <v>22500</v>
      </c>
      <c r="AH1493" s="412">
        <f t="shared" si="1224"/>
        <v>16500</v>
      </c>
      <c r="AI1493" s="412">
        <f t="shared" si="1224"/>
        <v>15750</v>
      </c>
      <c r="AJ1493" s="41" t="s">
        <v>11</v>
      </c>
      <c r="AK1493" s="412"/>
      <c r="AL1493" s="412"/>
      <c r="AM1493" s="412"/>
      <c r="AN1493" s="412"/>
      <c r="AO1493" s="412"/>
      <c r="AP1493" s="412"/>
      <c r="AQ1493" s="412"/>
      <c r="AR1493" s="412"/>
      <c r="AS1493" s="412"/>
      <c r="AT1493" s="43"/>
    </row>
    <row r="1494" spans="1:46" s="446" customFormat="1" x14ac:dyDescent="0.25">
      <c r="A1494" s="380" t="s">
        <v>0</v>
      </c>
      <c r="B1494" s="26" t="s">
        <v>96</v>
      </c>
      <c r="C1494" s="26"/>
      <c r="D1494" s="332" t="s">
        <v>0</v>
      </c>
      <c r="E1494" s="466">
        <v>45783</v>
      </c>
      <c r="F1494" s="24" t="s">
        <v>266</v>
      </c>
      <c r="G1494" s="315" t="s">
        <v>1379</v>
      </c>
      <c r="H1494" s="472">
        <v>60314105</v>
      </c>
      <c r="I1494" s="472">
        <v>587001</v>
      </c>
      <c r="J1494" s="2" t="s">
        <v>1</v>
      </c>
      <c r="K1494" s="452">
        <v>2245000</v>
      </c>
      <c r="L1494" s="4"/>
      <c r="M1494" s="4"/>
      <c r="N1494" s="4"/>
      <c r="O1494" s="4"/>
      <c r="P1494" s="4"/>
      <c r="Q1494" s="445">
        <v>35000</v>
      </c>
      <c r="R1494" s="445">
        <v>35000</v>
      </c>
      <c r="S1494" s="453"/>
      <c r="T1494" s="453"/>
      <c r="U1494" s="445"/>
      <c r="V1494" s="419"/>
      <c r="W1494" s="445"/>
      <c r="X1494" s="445"/>
      <c r="Y1494" s="445"/>
      <c r="Z1494" s="513">
        <v>115000</v>
      </c>
      <c r="AA1494" s="556">
        <v>115000</v>
      </c>
      <c r="AB1494" s="445">
        <v>115000</v>
      </c>
      <c r="AC1494" s="445">
        <v>115000</v>
      </c>
      <c r="AD1494" s="445">
        <v>115000</v>
      </c>
      <c r="AE1494" s="445">
        <v>115000</v>
      </c>
      <c r="AF1494" s="445">
        <v>115000</v>
      </c>
      <c r="AG1494" s="445">
        <v>115000</v>
      </c>
      <c r="AH1494" s="445">
        <v>115000</v>
      </c>
      <c r="AI1494" s="445">
        <v>110000</v>
      </c>
      <c r="AJ1494" s="445">
        <v>110000</v>
      </c>
      <c r="AK1494" s="445">
        <v>110000</v>
      </c>
      <c r="AL1494" s="445">
        <v>110000</v>
      </c>
      <c r="AM1494" s="445">
        <v>110000</v>
      </c>
      <c r="AN1494" s="445">
        <v>110000</v>
      </c>
      <c r="AO1494" s="445">
        <v>110000</v>
      </c>
      <c r="AP1494" s="445">
        <v>110000</v>
      </c>
      <c r="AQ1494" s="445">
        <v>110000</v>
      </c>
      <c r="AR1494" s="445">
        <v>110000</v>
      </c>
      <c r="AS1494" s="445">
        <v>110000</v>
      </c>
      <c r="AT1494" s="2" t="s">
        <v>11</v>
      </c>
    </row>
    <row r="1495" spans="1:46" s="446" customFormat="1" x14ac:dyDescent="0.25">
      <c r="A1495" s="400"/>
      <c r="B1495" s="26"/>
      <c r="C1495" s="26"/>
      <c r="D1495" s="578"/>
      <c r="E1495" s="24" t="s">
        <v>12</v>
      </c>
      <c r="F1495" s="15"/>
      <c r="G1495" s="148" t="s">
        <v>1380</v>
      </c>
      <c r="H1495" s="148" t="s">
        <v>1108</v>
      </c>
      <c r="I1495" s="148"/>
      <c r="J1495" s="17" t="s">
        <v>2</v>
      </c>
      <c r="K1495" s="447">
        <v>1020037.15</v>
      </c>
      <c r="L1495" s="11"/>
      <c r="M1495" s="11"/>
      <c r="N1495" s="11"/>
      <c r="O1495" s="11"/>
      <c r="P1495" s="11"/>
      <c r="Q1495" s="445">
        <v>41013</v>
      </c>
      <c r="R1495" s="445">
        <v>39525</v>
      </c>
      <c r="S1495" s="453"/>
      <c r="T1495" s="453"/>
      <c r="U1495" s="445"/>
      <c r="V1495" s="419"/>
      <c r="W1495" s="445"/>
      <c r="X1495" s="445"/>
      <c r="Y1495" s="445"/>
      <c r="Z1495" s="513">
        <f>49887.15+51312.5</f>
        <v>101199.65</v>
      </c>
      <c r="AA1495" s="556">
        <f>48437.5+48437.5</f>
        <v>96875</v>
      </c>
      <c r="AB1495" s="445">
        <f>45562.5+45562.5</f>
        <v>91125</v>
      </c>
      <c r="AC1495" s="445">
        <f>42687.5+42687.5</f>
        <v>85375</v>
      </c>
      <c r="AD1495" s="445">
        <f>39812.5+39812.5</f>
        <v>79625</v>
      </c>
      <c r="AE1495" s="445">
        <f>36937.5+36937.5</f>
        <v>73875</v>
      </c>
      <c r="AF1495" s="445">
        <f>34062.5+34062.5</f>
        <v>68125</v>
      </c>
      <c r="AG1495" s="445">
        <f>31187.5+31187.5</f>
        <v>62375</v>
      </c>
      <c r="AH1495" s="445">
        <f>28312.5+28312.5</f>
        <v>56625</v>
      </c>
      <c r="AI1495" s="445">
        <f>25437.5+25437.5</f>
        <v>50875</v>
      </c>
      <c r="AJ1495" s="445">
        <f>22687.5+22687.5</f>
        <v>45375</v>
      </c>
      <c r="AK1495" s="445">
        <f>20487.5+20487.5</f>
        <v>40975</v>
      </c>
      <c r="AL1495" s="445">
        <f>18287.5+18287.5</f>
        <v>36575</v>
      </c>
      <c r="AM1495" s="445">
        <f>16087.5+16087.5</f>
        <v>32175</v>
      </c>
      <c r="AN1495" s="445">
        <f>13887.5+13887.5</f>
        <v>27775</v>
      </c>
      <c r="AO1495" s="445">
        <f>11687.5+11687.5</f>
        <v>23375</v>
      </c>
      <c r="AP1495" s="445">
        <f>9487.5+9487.5</f>
        <v>18975</v>
      </c>
      <c r="AQ1495" s="445">
        <f>7150+7150</f>
        <v>14300</v>
      </c>
      <c r="AR1495" s="445">
        <f>4812.5+4812.5</f>
        <v>9625</v>
      </c>
      <c r="AS1495" s="445">
        <f>2406.25+2406.25</f>
        <v>4812.5</v>
      </c>
      <c r="AT1495" s="17" t="s">
        <v>11</v>
      </c>
    </row>
    <row r="1496" spans="1:46" s="450" customFormat="1" ht="13.8" thickBot="1" x14ac:dyDescent="0.3">
      <c r="A1496" s="120"/>
      <c r="B1496" s="120"/>
      <c r="C1496" s="120"/>
      <c r="D1496" s="579"/>
      <c r="E1496" s="88" t="s">
        <v>14</v>
      </c>
      <c r="F1496" s="579"/>
      <c r="G1496" s="149" t="s">
        <v>938</v>
      </c>
      <c r="H1496" s="143"/>
      <c r="I1496" s="143"/>
      <c r="J1496" s="450" t="s">
        <v>5</v>
      </c>
      <c r="K1496" s="451">
        <f>K1495+K1494</f>
        <v>3265037.15</v>
      </c>
      <c r="L1496" s="43"/>
      <c r="M1496" s="43"/>
      <c r="N1496" s="43"/>
      <c r="O1496" s="43"/>
      <c r="P1496" s="43"/>
      <c r="Q1496" s="413">
        <f>Q1495+Q1494</f>
        <v>76013</v>
      </c>
      <c r="R1496" s="413">
        <f>R1495+R1494</f>
        <v>74525</v>
      </c>
      <c r="S1496" s="43">
        <f>S1495+S1494</f>
        <v>0</v>
      </c>
      <c r="T1496" s="43"/>
      <c r="U1496" s="413">
        <f t="shared" ref="U1496" si="1225">U1495+U1494</f>
        <v>0</v>
      </c>
      <c r="V1496" s="412"/>
      <c r="W1496" s="412"/>
      <c r="X1496" s="412"/>
      <c r="Y1496" s="412"/>
      <c r="Z1496" s="510">
        <f t="shared" ref="Z1496:AR1496" si="1226">Z1495+Z1494</f>
        <v>216199.65</v>
      </c>
      <c r="AA1496" s="553">
        <f t="shared" si="1226"/>
        <v>211875</v>
      </c>
      <c r="AB1496" s="412">
        <f t="shared" si="1226"/>
        <v>206125</v>
      </c>
      <c r="AC1496" s="412">
        <f t="shared" si="1226"/>
        <v>200375</v>
      </c>
      <c r="AD1496" s="412">
        <f t="shared" si="1226"/>
        <v>194625</v>
      </c>
      <c r="AE1496" s="412">
        <f t="shared" si="1226"/>
        <v>188875</v>
      </c>
      <c r="AF1496" s="412">
        <f t="shared" si="1226"/>
        <v>183125</v>
      </c>
      <c r="AG1496" s="412">
        <f t="shared" si="1226"/>
        <v>177375</v>
      </c>
      <c r="AH1496" s="412">
        <f t="shared" si="1226"/>
        <v>171625</v>
      </c>
      <c r="AI1496" s="412">
        <f t="shared" si="1226"/>
        <v>160875</v>
      </c>
      <c r="AJ1496" s="412">
        <f t="shared" si="1226"/>
        <v>155375</v>
      </c>
      <c r="AK1496" s="412">
        <f t="shared" si="1226"/>
        <v>150975</v>
      </c>
      <c r="AL1496" s="412">
        <f t="shared" si="1226"/>
        <v>146575</v>
      </c>
      <c r="AM1496" s="412">
        <f t="shared" si="1226"/>
        <v>142175</v>
      </c>
      <c r="AN1496" s="412">
        <f t="shared" si="1226"/>
        <v>137775</v>
      </c>
      <c r="AO1496" s="412">
        <f t="shared" si="1226"/>
        <v>133375</v>
      </c>
      <c r="AP1496" s="412">
        <f t="shared" si="1226"/>
        <v>128975</v>
      </c>
      <c r="AQ1496" s="412">
        <f t="shared" si="1226"/>
        <v>124300</v>
      </c>
      <c r="AR1496" s="412">
        <f t="shared" si="1226"/>
        <v>119625</v>
      </c>
      <c r="AS1496" s="412">
        <f t="shared" ref="AS1496" si="1227">AS1495+AS1494</f>
        <v>114812.5</v>
      </c>
      <c r="AT1496" s="41" t="s">
        <v>11</v>
      </c>
    </row>
    <row r="1497" spans="1:46" s="446" customFormat="1" x14ac:dyDescent="0.25">
      <c r="A1497" s="380" t="s">
        <v>0</v>
      </c>
      <c r="B1497" s="26" t="s">
        <v>96</v>
      </c>
      <c r="C1497" s="26"/>
      <c r="D1497" s="332" t="s">
        <v>0</v>
      </c>
      <c r="E1497" s="466">
        <v>45783</v>
      </c>
      <c r="F1497" s="24" t="s">
        <v>266</v>
      </c>
      <c r="G1497" s="315" t="s">
        <v>1381</v>
      </c>
      <c r="H1497" s="472">
        <v>60314105</v>
      </c>
      <c r="I1497" s="472">
        <v>583008</v>
      </c>
      <c r="J1497" s="2" t="s">
        <v>1</v>
      </c>
      <c r="K1497" s="452">
        <v>140000</v>
      </c>
      <c r="L1497" s="4"/>
      <c r="M1497" s="4"/>
      <c r="N1497" s="4"/>
      <c r="O1497" s="4"/>
      <c r="P1497" s="4"/>
      <c r="Q1497" s="445">
        <v>35000</v>
      </c>
      <c r="R1497" s="445">
        <v>35000</v>
      </c>
      <c r="S1497" s="453"/>
      <c r="T1497" s="453"/>
      <c r="U1497" s="445"/>
      <c r="V1497" s="419"/>
      <c r="W1497" s="445"/>
      <c r="X1497" s="445"/>
      <c r="Y1497" s="445"/>
      <c r="Z1497" s="513">
        <v>30000</v>
      </c>
      <c r="AA1497" s="556">
        <v>30000</v>
      </c>
      <c r="AB1497" s="445">
        <v>30000</v>
      </c>
      <c r="AC1497" s="445">
        <v>25000</v>
      </c>
      <c r="AD1497" s="445">
        <v>25000</v>
      </c>
      <c r="AE1497" s="2" t="s">
        <v>11</v>
      </c>
      <c r="AF1497" s="445"/>
      <c r="AG1497" s="445"/>
      <c r="AH1497" s="445"/>
      <c r="AI1497" s="445"/>
      <c r="AJ1497" s="445"/>
      <c r="AK1497" s="445"/>
      <c r="AL1497" s="445"/>
      <c r="AM1497" s="445"/>
      <c r="AN1497" s="445"/>
      <c r="AO1497" s="445"/>
      <c r="AP1497" s="445"/>
      <c r="AQ1497" s="445"/>
      <c r="AR1497" s="445"/>
      <c r="AS1497" s="445"/>
      <c r="AT1497" s="4"/>
    </row>
    <row r="1498" spans="1:46" s="446" customFormat="1" x14ac:dyDescent="0.25">
      <c r="A1498" s="400"/>
      <c r="B1498" s="26"/>
      <c r="C1498" s="26"/>
      <c r="D1498" s="148"/>
      <c r="E1498" s="580" t="s">
        <v>12</v>
      </c>
      <c r="F1498" s="148"/>
      <c r="G1498" s="148" t="s">
        <v>1382</v>
      </c>
      <c r="H1498" s="148" t="s">
        <v>1106</v>
      </c>
      <c r="I1498" s="148"/>
      <c r="J1498" s="17" t="s">
        <v>2</v>
      </c>
      <c r="K1498" s="447">
        <v>20152.78</v>
      </c>
      <c r="L1498" s="11"/>
      <c r="M1498" s="11"/>
      <c r="N1498" s="11"/>
      <c r="O1498" s="11"/>
      <c r="P1498" s="11"/>
      <c r="Q1498" s="445">
        <v>41013</v>
      </c>
      <c r="R1498" s="445">
        <v>39525</v>
      </c>
      <c r="S1498" s="453"/>
      <c r="T1498" s="453"/>
      <c r="U1498" s="445"/>
      <c r="V1498" s="419"/>
      <c r="W1498" s="445"/>
      <c r="X1498" s="445"/>
      <c r="Y1498" s="445"/>
      <c r="Z1498" s="513">
        <f>3402.78+3500</f>
        <v>6902.7800000000007</v>
      </c>
      <c r="AA1498" s="556">
        <f>2750+2750</f>
        <v>5500</v>
      </c>
      <c r="AB1498" s="445">
        <f>2000+2000</f>
        <v>4000</v>
      </c>
      <c r="AC1498" s="445">
        <f>1250+1250</f>
        <v>2500</v>
      </c>
      <c r="AD1498" s="445">
        <f>625+625</f>
        <v>1250</v>
      </c>
      <c r="AE1498" s="17" t="s">
        <v>11</v>
      </c>
      <c r="AF1498" s="445"/>
      <c r="AG1498" s="445"/>
      <c r="AH1498" s="445"/>
      <c r="AI1498" s="445"/>
      <c r="AJ1498" s="445"/>
      <c r="AK1498" s="445"/>
      <c r="AL1498" s="445"/>
      <c r="AM1498" s="445"/>
      <c r="AN1498" s="445"/>
      <c r="AO1498" s="445"/>
      <c r="AP1498" s="445"/>
      <c r="AQ1498" s="445"/>
      <c r="AR1498" s="445"/>
      <c r="AS1498" s="445"/>
      <c r="AT1498" s="11"/>
    </row>
    <row r="1499" spans="1:46" s="450" customFormat="1" ht="13.8" thickBot="1" x14ac:dyDescent="0.3">
      <c r="A1499" s="120"/>
      <c r="B1499" s="120"/>
      <c r="C1499" s="120"/>
      <c r="D1499" s="579"/>
      <c r="E1499" s="88" t="s">
        <v>14</v>
      </c>
      <c r="F1499" s="579"/>
      <c r="G1499" s="149" t="s">
        <v>934</v>
      </c>
      <c r="H1499" s="143"/>
      <c r="I1499" s="143"/>
      <c r="J1499" s="450" t="s">
        <v>5</v>
      </c>
      <c r="K1499" s="451">
        <f>K1498+K1497</f>
        <v>160152.78</v>
      </c>
      <c r="L1499" s="43"/>
      <c r="M1499" s="43"/>
      <c r="N1499" s="43"/>
      <c r="O1499" s="43"/>
      <c r="P1499" s="43"/>
      <c r="Q1499" s="413">
        <f>Q1498+Q1497</f>
        <v>76013</v>
      </c>
      <c r="R1499" s="413">
        <f>R1498+R1497</f>
        <v>74525</v>
      </c>
      <c r="S1499" s="43">
        <f>S1498+S1497</f>
        <v>0</v>
      </c>
      <c r="T1499" s="43"/>
      <c r="U1499" s="413">
        <f t="shared" ref="U1499" si="1228">U1498+U1497</f>
        <v>0</v>
      </c>
      <c r="V1499" s="412"/>
      <c r="W1499" s="412"/>
      <c r="X1499" s="412"/>
      <c r="Y1499" s="412"/>
      <c r="Z1499" s="510">
        <f t="shared" ref="Z1499:AD1499" si="1229">Z1498+Z1497</f>
        <v>36902.78</v>
      </c>
      <c r="AA1499" s="553">
        <f t="shared" si="1229"/>
        <v>35500</v>
      </c>
      <c r="AB1499" s="412">
        <f t="shared" si="1229"/>
        <v>34000</v>
      </c>
      <c r="AC1499" s="412">
        <f t="shared" si="1229"/>
        <v>27500</v>
      </c>
      <c r="AD1499" s="412">
        <f t="shared" si="1229"/>
        <v>26250</v>
      </c>
      <c r="AE1499" s="41" t="s">
        <v>11</v>
      </c>
      <c r="AF1499" s="412"/>
      <c r="AG1499" s="412"/>
      <c r="AH1499" s="412"/>
      <c r="AI1499" s="412"/>
      <c r="AJ1499" s="412"/>
      <c r="AK1499" s="412"/>
      <c r="AL1499" s="412"/>
      <c r="AM1499" s="412"/>
      <c r="AN1499" s="412"/>
      <c r="AO1499" s="412"/>
      <c r="AP1499" s="412"/>
      <c r="AQ1499" s="412"/>
      <c r="AR1499" s="412"/>
      <c r="AS1499" s="412"/>
      <c r="AT1499" s="43"/>
    </row>
    <row r="1500" spans="1:46" s="8" customFormat="1" x14ac:dyDescent="0.25">
      <c r="A1500" s="121"/>
      <c r="B1500" s="121"/>
      <c r="C1500" s="306"/>
      <c r="D1500" s="332"/>
      <c r="E1500" s="332"/>
      <c r="F1500" s="332"/>
      <c r="G1500" s="13" t="s">
        <v>33</v>
      </c>
      <c r="H1500" s="13">
        <v>60775119</v>
      </c>
      <c r="I1500" s="13">
        <v>591100</v>
      </c>
      <c r="J1500" s="14" t="s">
        <v>1</v>
      </c>
      <c r="K1500" s="29">
        <f>K1491+K1494+K1497</f>
        <v>2575000</v>
      </c>
      <c r="L1500" s="7"/>
      <c r="M1500" s="7"/>
      <c r="N1500" s="67"/>
      <c r="O1500" s="67"/>
      <c r="P1500" s="67"/>
      <c r="Q1500" s="67"/>
      <c r="R1500" s="67"/>
      <c r="S1500" s="67"/>
      <c r="T1500" s="67" t="e">
        <f>#REF!</f>
        <v>#REF!</v>
      </c>
      <c r="U1500" s="67" t="e">
        <f>#REF!</f>
        <v>#REF!</v>
      </c>
      <c r="V1500" s="67"/>
      <c r="W1500" s="67"/>
      <c r="X1500" s="67"/>
      <c r="Y1500" s="67"/>
      <c r="Z1500" s="507">
        <f t="shared" ref="Z1500:AD1501" si="1230">Z1491+Z1494+Z1497</f>
        <v>165000</v>
      </c>
      <c r="AA1500" s="546">
        <f t="shared" si="1230"/>
        <v>165000</v>
      </c>
      <c r="AB1500" s="67">
        <f t="shared" si="1230"/>
        <v>165000</v>
      </c>
      <c r="AC1500" s="67">
        <f t="shared" si="1230"/>
        <v>160000</v>
      </c>
      <c r="AD1500" s="67">
        <f t="shared" si="1230"/>
        <v>160000</v>
      </c>
      <c r="AE1500" s="67">
        <f>AE1491+AE1494</f>
        <v>135000</v>
      </c>
      <c r="AF1500" s="67">
        <f>AF1491+AF1494</f>
        <v>135000</v>
      </c>
      <c r="AG1500" s="67">
        <f t="shared" ref="AG1500:AI1500" si="1231">AG1491+AG1494</f>
        <v>135000</v>
      </c>
      <c r="AH1500" s="67">
        <f t="shared" si="1231"/>
        <v>130000</v>
      </c>
      <c r="AI1500" s="67">
        <f t="shared" si="1231"/>
        <v>125000</v>
      </c>
      <c r="AJ1500" s="67">
        <f>AJ1494</f>
        <v>110000</v>
      </c>
      <c r="AK1500" s="67">
        <f>AK1494</f>
        <v>110000</v>
      </c>
      <c r="AL1500" s="67">
        <f t="shared" ref="AL1500:AR1500" si="1232">AL1494</f>
        <v>110000</v>
      </c>
      <c r="AM1500" s="67">
        <f t="shared" si="1232"/>
        <v>110000</v>
      </c>
      <c r="AN1500" s="67">
        <f t="shared" si="1232"/>
        <v>110000</v>
      </c>
      <c r="AO1500" s="67">
        <f t="shared" si="1232"/>
        <v>110000</v>
      </c>
      <c r="AP1500" s="67">
        <f t="shared" si="1232"/>
        <v>110000</v>
      </c>
      <c r="AQ1500" s="67">
        <f t="shared" si="1232"/>
        <v>110000</v>
      </c>
      <c r="AR1500" s="67">
        <f t="shared" si="1232"/>
        <v>110000</v>
      </c>
      <c r="AS1500" s="67">
        <f t="shared" ref="AS1500:AS1501" si="1233">AS1494</f>
        <v>110000</v>
      </c>
      <c r="AT1500" s="3" t="s">
        <v>11</v>
      </c>
    </row>
    <row r="1501" spans="1:46" s="8" customFormat="1" x14ac:dyDescent="0.25">
      <c r="A1501" s="121"/>
      <c r="B1501" s="121"/>
      <c r="C1501" s="306"/>
      <c r="D1501" s="14"/>
      <c r="E1501" s="14"/>
      <c r="F1501" s="14"/>
      <c r="G1501" s="14"/>
      <c r="H1501" s="13">
        <v>60775119</v>
      </c>
      <c r="I1501" s="14">
        <v>595100</v>
      </c>
      <c r="J1501" s="18" t="s">
        <v>2</v>
      </c>
      <c r="K1501" s="30">
        <f>K1492+K1495+K1498</f>
        <v>1090307.99</v>
      </c>
      <c r="L1501" s="16"/>
      <c r="M1501" s="16"/>
      <c r="N1501" s="16"/>
      <c r="O1501" s="16"/>
      <c r="P1501" s="16"/>
      <c r="Q1501" s="16"/>
      <c r="R1501" s="16"/>
      <c r="S1501" s="16"/>
      <c r="T1501" s="16" t="e">
        <f>#REF!</f>
        <v>#REF!</v>
      </c>
      <c r="U1501" s="7" t="e">
        <f>#REF!</f>
        <v>#REF!</v>
      </c>
      <c r="V1501" s="7"/>
      <c r="W1501" s="7"/>
      <c r="X1501" s="7"/>
      <c r="Y1501" s="7"/>
      <c r="Z1501" s="501">
        <f t="shared" si="1230"/>
        <v>117470.48999999999</v>
      </c>
      <c r="AA1501" s="540">
        <f t="shared" si="1230"/>
        <v>110875</v>
      </c>
      <c r="AB1501" s="7">
        <f t="shared" si="1230"/>
        <v>102625</v>
      </c>
      <c r="AC1501" s="7">
        <f t="shared" si="1230"/>
        <v>94375</v>
      </c>
      <c r="AD1501" s="7">
        <f t="shared" si="1230"/>
        <v>86375</v>
      </c>
      <c r="AE1501" s="7">
        <f>AE1492+AE1495</f>
        <v>78375</v>
      </c>
      <c r="AF1501" s="7">
        <f t="shared" ref="AF1501:AI1501" si="1234">AF1492+AF1495</f>
        <v>71625</v>
      </c>
      <c r="AG1501" s="7">
        <f t="shared" si="1234"/>
        <v>64875</v>
      </c>
      <c r="AH1501" s="7">
        <f t="shared" si="1234"/>
        <v>58125</v>
      </c>
      <c r="AI1501" s="7">
        <f t="shared" si="1234"/>
        <v>51625</v>
      </c>
      <c r="AJ1501" s="7">
        <f>AJ1495</f>
        <v>45375</v>
      </c>
      <c r="AK1501" s="7">
        <f t="shared" ref="AK1501:AR1501" si="1235">AK1495</f>
        <v>40975</v>
      </c>
      <c r="AL1501" s="7">
        <f t="shared" si="1235"/>
        <v>36575</v>
      </c>
      <c r="AM1501" s="7">
        <f t="shared" si="1235"/>
        <v>32175</v>
      </c>
      <c r="AN1501" s="7">
        <f t="shared" si="1235"/>
        <v>27775</v>
      </c>
      <c r="AO1501" s="7">
        <f t="shared" si="1235"/>
        <v>23375</v>
      </c>
      <c r="AP1501" s="7">
        <f t="shared" si="1235"/>
        <v>18975</v>
      </c>
      <c r="AQ1501" s="7">
        <f t="shared" si="1235"/>
        <v>14300</v>
      </c>
      <c r="AR1501" s="7">
        <f t="shared" si="1235"/>
        <v>9625</v>
      </c>
      <c r="AS1501" s="7">
        <f t="shared" si="1233"/>
        <v>4812.5</v>
      </c>
      <c r="AT1501" s="20" t="s">
        <v>11</v>
      </c>
    </row>
    <row r="1502" spans="1:46" s="8" customFormat="1" ht="13.8" thickBot="1" x14ac:dyDescent="0.3">
      <c r="A1502" s="122"/>
      <c r="B1502" s="122"/>
      <c r="C1502" s="307"/>
      <c r="D1502" s="87"/>
      <c r="E1502" s="87"/>
      <c r="F1502" s="87"/>
      <c r="G1502" s="149" t="s">
        <v>939</v>
      </c>
      <c r="H1502" s="87"/>
      <c r="I1502" s="87"/>
      <c r="J1502" s="50" t="s">
        <v>5</v>
      </c>
      <c r="K1502" s="51">
        <f>K1501+K1500</f>
        <v>3665307.99</v>
      </c>
      <c r="L1502" s="46"/>
      <c r="M1502" s="46"/>
      <c r="N1502" s="46"/>
      <c r="O1502" s="46"/>
      <c r="P1502" s="46"/>
      <c r="Q1502" s="46"/>
      <c r="R1502" s="46"/>
      <c r="S1502" s="46"/>
      <c r="T1502" s="46" t="e">
        <f t="shared" ref="T1502:U1502" si="1236">T1501+T1500</f>
        <v>#REF!</v>
      </c>
      <c r="U1502" s="46" t="e">
        <f t="shared" si="1236"/>
        <v>#REF!</v>
      </c>
      <c r="V1502" s="46"/>
      <c r="W1502" s="46"/>
      <c r="X1502" s="46"/>
      <c r="Y1502" s="46"/>
      <c r="Z1502" s="503">
        <f t="shared" ref="Z1502" si="1237">Z1501+Z1500</f>
        <v>282470.49</v>
      </c>
      <c r="AA1502" s="542">
        <f t="shared" ref="AA1502:AQ1502" si="1238">AA1501+AA1500</f>
        <v>275875</v>
      </c>
      <c r="AB1502" s="46">
        <f t="shared" si="1238"/>
        <v>267625</v>
      </c>
      <c r="AC1502" s="46">
        <f t="shared" si="1238"/>
        <v>254375</v>
      </c>
      <c r="AD1502" s="46">
        <f t="shared" si="1238"/>
        <v>246375</v>
      </c>
      <c r="AE1502" s="46">
        <f t="shared" si="1238"/>
        <v>213375</v>
      </c>
      <c r="AF1502" s="46">
        <f t="shared" si="1238"/>
        <v>206625</v>
      </c>
      <c r="AG1502" s="46">
        <f t="shared" si="1238"/>
        <v>199875</v>
      </c>
      <c r="AH1502" s="46">
        <f t="shared" si="1238"/>
        <v>188125</v>
      </c>
      <c r="AI1502" s="46">
        <f t="shared" si="1238"/>
        <v>176625</v>
      </c>
      <c r="AJ1502" s="46">
        <f t="shared" si="1238"/>
        <v>155375</v>
      </c>
      <c r="AK1502" s="46">
        <f t="shared" si="1238"/>
        <v>150975</v>
      </c>
      <c r="AL1502" s="46">
        <f t="shared" si="1238"/>
        <v>146575</v>
      </c>
      <c r="AM1502" s="46">
        <f t="shared" si="1238"/>
        <v>142175</v>
      </c>
      <c r="AN1502" s="46">
        <f t="shared" si="1238"/>
        <v>137775</v>
      </c>
      <c r="AO1502" s="46">
        <f t="shared" si="1238"/>
        <v>133375</v>
      </c>
      <c r="AP1502" s="46">
        <f t="shared" si="1238"/>
        <v>128975</v>
      </c>
      <c r="AQ1502" s="46">
        <f t="shared" si="1238"/>
        <v>124300</v>
      </c>
      <c r="AR1502" s="46">
        <f t="shared" ref="AR1502:AS1502" si="1239">AR1501+AR1500</f>
        <v>119625</v>
      </c>
      <c r="AS1502" s="46">
        <f t="shared" si="1239"/>
        <v>114812.5</v>
      </c>
      <c r="AT1502" s="47" t="s">
        <v>11</v>
      </c>
    </row>
    <row r="1503" spans="1:46" s="446" customFormat="1" x14ac:dyDescent="0.25">
      <c r="A1503" s="26" t="s">
        <v>4</v>
      </c>
      <c r="B1503" s="26" t="s">
        <v>97</v>
      </c>
      <c r="C1503" s="444"/>
      <c r="D1503" s="55" t="s">
        <v>4</v>
      </c>
      <c r="E1503" s="465">
        <v>45783</v>
      </c>
      <c r="F1503" s="25" t="s">
        <v>267</v>
      </c>
      <c r="G1503" s="316" t="s">
        <v>1383</v>
      </c>
      <c r="H1503" s="427">
        <v>61314104</v>
      </c>
      <c r="I1503" s="427">
        <v>584024</v>
      </c>
      <c r="J1503" s="2" t="s">
        <v>1</v>
      </c>
      <c r="K1503" s="27">
        <v>390000</v>
      </c>
      <c r="L1503" s="4"/>
      <c r="M1503" s="4"/>
      <c r="N1503" s="4"/>
      <c r="O1503" s="4"/>
      <c r="P1503" s="4"/>
      <c r="Q1503" s="4"/>
      <c r="R1503" s="426"/>
      <c r="S1503" s="426"/>
      <c r="T1503" s="426"/>
      <c r="U1503" s="445"/>
      <c r="V1503" s="419"/>
      <c r="W1503" s="445"/>
      <c r="X1503" s="445"/>
      <c r="Y1503" s="445"/>
      <c r="Z1503" s="513">
        <v>20000</v>
      </c>
      <c r="AA1503" s="556">
        <v>20000</v>
      </c>
      <c r="AB1503" s="445">
        <v>20000</v>
      </c>
      <c r="AC1503" s="445">
        <v>20000</v>
      </c>
      <c r="AD1503" s="445">
        <v>20000</v>
      </c>
      <c r="AE1503" s="445">
        <v>20000</v>
      </c>
      <c r="AF1503" s="445">
        <v>20000</v>
      </c>
      <c r="AG1503" s="445">
        <v>20000</v>
      </c>
      <c r="AH1503" s="445">
        <v>20000</v>
      </c>
      <c r="AI1503" s="445">
        <v>20000</v>
      </c>
      <c r="AJ1503" s="445">
        <v>20000</v>
      </c>
      <c r="AK1503" s="445">
        <v>20000</v>
      </c>
      <c r="AL1503" s="445">
        <v>20000</v>
      </c>
      <c r="AM1503" s="445">
        <v>20000</v>
      </c>
      <c r="AN1503" s="445">
        <v>20000</v>
      </c>
      <c r="AO1503" s="445">
        <v>20000</v>
      </c>
      <c r="AP1503" s="445">
        <v>20000</v>
      </c>
      <c r="AQ1503" s="445">
        <v>20000</v>
      </c>
      <c r="AR1503" s="445">
        <v>15000</v>
      </c>
      <c r="AS1503" s="445">
        <v>15000</v>
      </c>
      <c r="AT1503" s="2" t="s">
        <v>11</v>
      </c>
    </row>
    <row r="1504" spans="1:46" s="446" customFormat="1" x14ac:dyDescent="0.25">
      <c r="A1504" s="400"/>
      <c r="B1504" s="26"/>
      <c r="C1504" s="444"/>
      <c r="D1504" s="581"/>
      <c r="E1504" s="582" t="s">
        <v>13</v>
      </c>
      <c r="F1504" s="583"/>
      <c r="G1504" s="402" t="s">
        <v>1384</v>
      </c>
      <c r="H1504" s="402" t="s">
        <v>1108</v>
      </c>
      <c r="I1504" s="402"/>
      <c r="J1504" s="17" t="s">
        <v>2</v>
      </c>
      <c r="K1504" s="447">
        <v>174896.36</v>
      </c>
      <c r="L1504" s="11"/>
      <c r="M1504" s="11"/>
      <c r="N1504" s="11"/>
      <c r="O1504" s="11"/>
      <c r="P1504" s="4"/>
      <c r="Q1504" s="4"/>
      <c r="R1504" s="426"/>
      <c r="S1504" s="426"/>
      <c r="T1504" s="426"/>
      <c r="U1504" s="445"/>
      <c r="V1504" s="448"/>
      <c r="W1504" s="445"/>
      <c r="X1504" s="445"/>
      <c r="Y1504" s="445"/>
      <c r="Z1504" s="513">
        <f>8658.85+8906.25</f>
        <v>17565.099999999999</v>
      </c>
      <c r="AA1504" s="556">
        <f>8406.25+8406.25</f>
        <v>16812.5</v>
      </c>
      <c r="AB1504" s="445">
        <f>7906.25+7906.25</f>
        <v>15812.5</v>
      </c>
      <c r="AC1504" s="445">
        <f>7406.25+7406.25</f>
        <v>14812.5</v>
      </c>
      <c r="AD1504" s="445">
        <f>6906.25+6906.25</f>
        <v>13812.5</v>
      </c>
      <c r="AE1504" s="445">
        <f>6406.25+6406.25</f>
        <v>12812.5</v>
      </c>
      <c r="AF1504" s="445">
        <f>5906.25+5906.25</f>
        <v>11812.5</v>
      </c>
      <c r="AG1504" s="445">
        <f>5406.25+5406.25</f>
        <v>10812.5</v>
      </c>
      <c r="AH1504" s="445">
        <f>4906.25+4906.25</f>
        <v>9812.5</v>
      </c>
      <c r="AI1504" s="445">
        <f>4406.25+4406.25</f>
        <v>8812.5</v>
      </c>
      <c r="AJ1504" s="445">
        <f>3906.25+3906.25</f>
        <v>7812.5</v>
      </c>
      <c r="AK1504" s="445">
        <f>3506.25+3506.25</f>
        <v>7012.5</v>
      </c>
      <c r="AL1504" s="445">
        <f>3106.25+3106.25</f>
        <v>6212.5</v>
      </c>
      <c r="AM1504" s="445">
        <f>2706.25+2706.25</f>
        <v>5412.5</v>
      </c>
      <c r="AN1504" s="445">
        <f>2306.25+2306.25</f>
        <v>4612.5</v>
      </c>
      <c r="AO1504" s="445">
        <f>1906.25+1906.25</f>
        <v>3812.5</v>
      </c>
      <c r="AP1504" s="445">
        <f>1506.25+1506.25</f>
        <v>3012.5</v>
      </c>
      <c r="AQ1504" s="445">
        <f>1081.25+1081.25</f>
        <v>2162.5</v>
      </c>
      <c r="AR1504" s="445">
        <f>656.25+656.25</f>
        <v>1312.5</v>
      </c>
      <c r="AS1504" s="445">
        <f>328.13+328.13</f>
        <v>656.26</v>
      </c>
      <c r="AT1504" s="17" t="s">
        <v>11</v>
      </c>
    </row>
    <row r="1505" spans="1:46" s="450" customFormat="1" ht="13.8" thickBot="1" x14ac:dyDescent="0.3">
      <c r="A1505" s="120"/>
      <c r="B1505" s="120"/>
      <c r="C1505" s="120"/>
      <c r="D1505" s="91"/>
      <c r="E1505" s="144" t="s">
        <v>16</v>
      </c>
      <c r="F1505" s="584"/>
      <c r="G1505" s="449" t="s">
        <v>931</v>
      </c>
      <c r="H1505" s="144"/>
      <c r="I1505" s="124"/>
      <c r="J1505" s="450" t="s">
        <v>5</v>
      </c>
      <c r="K1505" s="451">
        <f>K1504+K1503</f>
        <v>564896.36</v>
      </c>
      <c r="L1505" s="43"/>
      <c r="M1505" s="43"/>
      <c r="N1505" s="43"/>
      <c r="O1505" s="43"/>
      <c r="P1505" s="43">
        <f>P1504+P1503</f>
        <v>0</v>
      </c>
      <c r="Q1505" s="43"/>
      <c r="R1505" s="43">
        <f>R1504+R1503</f>
        <v>0</v>
      </c>
      <c r="S1505" s="43">
        <f>S1504+S1503</f>
        <v>0</v>
      </c>
      <c r="T1505" s="43"/>
      <c r="U1505" s="43">
        <f>U1504+U1503</f>
        <v>0</v>
      </c>
      <c r="V1505" s="412"/>
      <c r="W1505" s="412"/>
      <c r="X1505" s="412"/>
      <c r="Y1505" s="412"/>
      <c r="Z1505" s="510">
        <f>Z1504+Z1503</f>
        <v>37565.1</v>
      </c>
      <c r="AA1505" s="553">
        <f t="shared" ref="AA1505:AR1505" si="1240">AA1504+AA1503</f>
        <v>36812.5</v>
      </c>
      <c r="AB1505" s="412">
        <f t="shared" si="1240"/>
        <v>35812.5</v>
      </c>
      <c r="AC1505" s="412">
        <f t="shared" si="1240"/>
        <v>34812.5</v>
      </c>
      <c r="AD1505" s="412">
        <f t="shared" si="1240"/>
        <v>33812.5</v>
      </c>
      <c r="AE1505" s="412">
        <f t="shared" si="1240"/>
        <v>32812.5</v>
      </c>
      <c r="AF1505" s="412">
        <f t="shared" si="1240"/>
        <v>31812.5</v>
      </c>
      <c r="AG1505" s="412">
        <f t="shared" si="1240"/>
        <v>30812.5</v>
      </c>
      <c r="AH1505" s="412">
        <f t="shared" si="1240"/>
        <v>29812.5</v>
      </c>
      <c r="AI1505" s="412">
        <f t="shared" si="1240"/>
        <v>28812.5</v>
      </c>
      <c r="AJ1505" s="412">
        <f t="shared" si="1240"/>
        <v>27812.5</v>
      </c>
      <c r="AK1505" s="412">
        <f t="shared" si="1240"/>
        <v>27012.5</v>
      </c>
      <c r="AL1505" s="412">
        <f t="shared" si="1240"/>
        <v>26212.5</v>
      </c>
      <c r="AM1505" s="412">
        <f t="shared" si="1240"/>
        <v>25412.5</v>
      </c>
      <c r="AN1505" s="412">
        <f t="shared" si="1240"/>
        <v>24612.5</v>
      </c>
      <c r="AO1505" s="412">
        <f t="shared" si="1240"/>
        <v>23812.5</v>
      </c>
      <c r="AP1505" s="412">
        <f t="shared" si="1240"/>
        <v>23012.5</v>
      </c>
      <c r="AQ1505" s="412">
        <f t="shared" si="1240"/>
        <v>22162.5</v>
      </c>
      <c r="AR1505" s="412">
        <f t="shared" si="1240"/>
        <v>16312.5</v>
      </c>
      <c r="AS1505" s="412">
        <f t="shared" ref="AS1505" si="1241">AS1504+AS1503</f>
        <v>15656.26</v>
      </c>
      <c r="AT1505" s="41" t="s">
        <v>11</v>
      </c>
    </row>
    <row r="1506" spans="1:46" s="446" customFormat="1" x14ac:dyDescent="0.25">
      <c r="A1506" s="26" t="s">
        <v>4</v>
      </c>
      <c r="B1506" s="26" t="s">
        <v>97</v>
      </c>
      <c r="C1506" s="444"/>
      <c r="D1506" s="55" t="s">
        <v>4</v>
      </c>
      <c r="E1506" s="465">
        <v>45783</v>
      </c>
      <c r="F1506" s="25" t="s">
        <v>347</v>
      </c>
      <c r="G1506" s="316" t="s">
        <v>1385</v>
      </c>
      <c r="H1506" s="427">
        <v>61314104</v>
      </c>
      <c r="I1506" s="427">
        <v>587006</v>
      </c>
      <c r="J1506" s="2" t="s">
        <v>1</v>
      </c>
      <c r="K1506" s="27">
        <v>315000</v>
      </c>
      <c r="L1506" s="4"/>
      <c r="M1506" s="4"/>
      <c r="N1506" s="4"/>
      <c r="O1506" s="4"/>
      <c r="P1506" s="4"/>
      <c r="Q1506" s="4"/>
      <c r="R1506" s="426"/>
      <c r="S1506" s="426"/>
      <c r="T1506" s="426"/>
      <c r="U1506" s="445"/>
      <c r="V1506" s="419"/>
      <c r="W1506" s="445"/>
      <c r="X1506" s="445"/>
      <c r="Y1506" s="445"/>
      <c r="Z1506" s="513">
        <v>65000</v>
      </c>
      <c r="AA1506" s="556">
        <v>65000</v>
      </c>
      <c r="AB1506" s="445">
        <v>65000</v>
      </c>
      <c r="AC1506" s="445">
        <v>60000</v>
      </c>
      <c r="AD1506" s="445">
        <v>60000</v>
      </c>
      <c r="AE1506" s="2" t="s">
        <v>11</v>
      </c>
      <c r="AF1506" s="445"/>
      <c r="AG1506" s="445"/>
      <c r="AH1506" s="445"/>
      <c r="AI1506" s="445"/>
      <c r="AJ1506" s="445"/>
      <c r="AK1506" s="445"/>
      <c r="AL1506" s="445"/>
      <c r="AM1506" s="445"/>
      <c r="AN1506" s="445"/>
      <c r="AO1506" s="445"/>
      <c r="AP1506" s="445"/>
      <c r="AQ1506" s="424"/>
      <c r="AR1506" s="424"/>
      <c r="AS1506" s="2"/>
      <c r="AT1506" s="2"/>
    </row>
    <row r="1507" spans="1:46" s="446" customFormat="1" x14ac:dyDescent="0.25">
      <c r="A1507" s="400"/>
      <c r="B1507" s="26"/>
      <c r="C1507" s="444"/>
      <c r="D1507" s="55"/>
      <c r="E1507" s="317" t="s">
        <v>13</v>
      </c>
      <c r="F1507" s="25"/>
      <c r="G1507" s="402" t="s">
        <v>1386</v>
      </c>
      <c r="H1507" s="402" t="s">
        <v>1106</v>
      </c>
      <c r="I1507" s="12"/>
      <c r="J1507" s="17" t="s">
        <v>2</v>
      </c>
      <c r="K1507" s="447">
        <v>46281.25</v>
      </c>
      <c r="L1507" s="11"/>
      <c r="M1507" s="11"/>
      <c r="N1507" s="11"/>
      <c r="O1507" s="11"/>
      <c r="P1507" s="4"/>
      <c r="Q1507" s="4"/>
      <c r="R1507" s="426"/>
      <c r="S1507" s="426"/>
      <c r="T1507" s="426"/>
      <c r="U1507" s="445"/>
      <c r="V1507" s="448"/>
      <c r="W1507" s="445"/>
      <c r="X1507" s="445"/>
      <c r="Y1507" s="445"/>
      <c r="Z1507" s="513">
        <f>7656.25+7875</f>
        <v>15531.25</v>
      </c>
      <c r="AA1507" s="556">
        <f>6250+6250</f>
        <v>12500</v>
      </c>
      <c r="AB1507" s="445">
        <f>4625+4625</f>
        <v>9250</v>
      </c>
      <c r="AC1507" s="445">
        <f>3000+3000</f>
        <v>6000</v>
      </c>
      <c r="AD1507" s="445">
        <f>1500+1500</f>
        <v>3000</v>
      </c>
      <c r="AE1507" s="17" t="s">
        <v>11</v>
      </c>
      <c r="AF1507" s="445"/>
      <c r="AG1507" s="445"/>
      <c r="AH1507" s="445"/>
      <c r="AI1507" s="445"/>
      <c r="AJ1507" s="445"/>
      <c r="AK1507" s="445"/>
      <c r="AL1507" s="445"/>
      <c r="AM1507" s="445"/>
      <c r="AN1507" s="445"/>
      <c r="AO1507" s="445"/>
      <c r="AP1507" s="445"/>
      <c r="AQ1507" s="418"/>
      <c r="AR1507" s="418"/>
      <c r="AS1507" s="17"/>
      <c r="AT1507" s="17"/>
    </row>
    <row r="1508" spans="1:46" s="450" customFormat="1" ht="13.8" thickBot="1" x14ac:dyDescent="0.3">
      <c r="A1508" s="120"/>
      <c r="B1508" s="120"/>
      <c r="C1508" s="120"/>
      <c r="D1508" s="91"/>
      <c r="E1508" s="144" t="s">
        <v>16</v>
      </c>
      <c r="F1508" s="584"/>
      <c r="G1508" s="449" t="s">
        <v>931</v>
      </c>
      <c r="H1508" s="144"/>
      <c r="I1508" s="124"/>
      <c r="J1508" s="450" t="s">
        <v>5</v>
      </c>
      <c r="K1508" s="451">
        <f>K1507+K1506</f>
        <v>361281.25</v>
      </c>
      <c r="L1508" s="43"/>
      <c r="M1508" s="43"/>
      <c r="N1508" s="43"/>
      <c r="O1508" s="43"/>
      <c r="P1508" s="43">
        <f>P1507+P1506</f>
        <v>0</v>
      </c>
      <c r="Q1508" s="43"/>
      <c r="R1508" s="43">
        <f>R1507+R1506</f>
        <v>0</v>
      </c>
      <c r="S1508" s="43">
        <f>S1507+S1506</f>
        <v>0</v>
      </c>
      <c r="T1508" s="43"/>
      <c r="U1508" s="43">
        <f>U1507+U1506</f>
        <v>0</v>
      </c>
      <c r="V1508" s="412"/>
      <c r="W1508" s="412"/>
      <c r="X1508" s="412"/>
      <c r="Y1508" s="412"/>
      <c r="Z1508" s="510">
        <f t="shared" ref="Z1508:AB1508" si="1242">Z1507+Z1506</f>
        <v>80531.25</v>
      </c>
      <c r="AA1508" s="553">
        <f t="shared" si="1242"/>
        <v>77500</v>
      </c>
      <c r="AB1508" s="412">
        <f t="shared" si="1242"/>
        <v>74250</v>
      </c>
      <c r="AC1508" s="412">
        <f t="shared" ref="AC1508:AD1508" si="1243">AC1507+AC1506</f>
        <v>66000</v>
      </c>
      <c r="AD1508" s="412">
        <f t="shared" si="1243"/>
        <v>63000</v>
      </c>
      <c r="AE1508" s="41" t="s">
        <v>11</v>
      </c>
      <c r="AF1508" s="412"/>
      <c r="AG1508" s="412"/>
      <c r="AH1508" s="411"/>
      <c r="AI1508" s="411"/>
      <c r="AJ1508" s="411"/>
      <c r="AK1508" s="411"/>
      <c r="AL1508" s="411"/>
      <c r="AM1508" s="411"/>
      <c r="AN1508" s="411"/>
      <c r="AO1508" s="411"/>
      <c r="AP1508" s="411"/>
      <c r="AQ1508" s="411"/>
      <c r="AR1508" s="411"/>
      <c r="AS1508" s="41"/>
      <c r="AT1508" s="41"/>
    </row>
    <row r="1509" spans="1:46" s="8" customFormat="1" x14ac:dyDescent="0.25">
      <c r="A1509" s="121"/>
      <c r="B1509" s="26"/>
      <c r="C1509" s="306"/>
      <c r="D1509" s="55"/>
      <c r="E1509" s="55"/>
      <c r="F1509" s="55"/>
      <c r="G1509" s="9" t="s">
        <v>7</v>
      </c>
      <c r="H1509" s="9">
        <v>61775119</v>
      </c>
      <c r="I1509" s="9">
        <v>591100</v>
      </c>
      <c r="J1509" s="10" t="s">
        <v>1</v>
      </c>
      <c r="K1509" s="31">
        <f>K1503+K1506</f>
        <v>705000</v>
      </c>
      <c r="L1509" s="7"/>
      <c r="M1509" s="7"/>
      <c r="N1509" s="7"/>
      <c r="O1509" s="7"/>
      <c r="P1509" s="7"/>
      <c r="Q1509" s="7"/>
      <c r="R1509" s="7"/>
      <c r="S1509" s="7"/>
      <c r="T1509" s="7" t="e">
        <f>#REF!</f>
        <v>#REF!</v>
      </c>
      <c r="U1509" s="7"/>
      <c r="V1509" s="7"/>
      <c r="W1509" s="7"/>
      <c r="X1509" s="7"/>
      <c r="Y1509" s="7"/>
      <c r="Z1509" s="501">
        <f t="shared" ref="Z1509:AB1510" si="1244">Z1503+Z1506</f>
        <v>85000</v>
      </c>
      <c r="AA1509" s="540">
        <f t="shared" si="1244"/>
        <v>85000</v>
      </c>
      <c r="AB1509" s="7">
        <f t="shared" si="1244"/>
        <v>85000</v>
      </c>
      <c r="AC1509" s="7">
        <f t="shared" ref="AC1509:AD1509" si="1245">AC1503+AC1506</f>
        <v>80000</v>
      </c>
      <c r="AD1509" s="7">
        <f t="shared" si="1245"/>
        <v>80000</v>
      </c>
      <c r="AE1509" s="7">
        <f>AE1503</f>
        <v>20000</v>
      </c>
      <c r="AF1509" s="7">
        <f t="shared" ref="AF1509:AS1509" si="1246">AF1503</f>
        <v>20000</v>
      </c>
      <c r="AG1509" s="7">
        <f t="shared" si="1246"/>
        <v>20000</v>
      </c>
      <c r="AH1509" s="7">
        <f t="shared" si="1246"/>
        <v>20000</v>
      </c>
      <c r="AI1509" s="7">
        <f t="shared" si="1246"/>
        <v>20000</v>
      </c>
      <c r="AJ1509" s="7">
        <f t="shared" si="1246"/>
        <v>20000</v>
      </c>
      <c r="AK1509" s="7">
        <f t="shared" si="1246"/>
        <v>20000</v>
      </c>
      <c r="AL1509" s="7">
        <f t="shared" si="1246"/>
        <v>20000</v>
      </c>
      <c r="AM1509" s="7">
        <f t="shared" si="1246"/>
        <v>20000</v>
      </c>
      <c r="AN1509" s="7">
        <f t="shared" si="1246"/>
        <v>20000</v>
      </c>
      <c r="AO1509" s="7">
        <f t="shared" si="1246"/>
        <v>20000</v>
      </c>
      <c r="AP1509" s="7">
        <f t="shared" si="1246"/>
        <v>20000</v>
      </c>
      <c r="AQ1509" s="7">
        <f t="shared" si="1246"/>
        <v>20000</v>
      </c>
      <c r="AR1509" s="7">
        <f t="shared" si="1246"/>
        <v>15000</v>
      </c>
      <c r="AS1509" s="7">
        <f t="shared" si="1246"/>
        <v>15000</v>
      </c>
      <c r="AT1509" s="3" t="s">
        <v>11</v>
      </c>
    </row>
    <row r="1510" spans="1:46" s="8" customFormat="1" x14ac:dyDescent="0.25">
      <c r="A1510" s="121"/>
      <c r="B1510" s="121"/>
      <c r="C1510" s="306"/>
      <c r="D1510" s="10"/>
      <c r="E1510" s="10"/>
      <c r="F1510" s="10"/>
      <c r="G1510" s="10"/>
      <c r="H1510" s="9">
        <v>61775119</v>
      </c>
      <c r="I1510" s="10">
        <v>595100</v>
      </c>
      <c r="J1510" s="19" t="s">
        <v>2</v>
      </c>
      <c r="K1510" s="31">
        <f>K1504+K1507</f>
        <v>221177.61</v>
      </c>
      <c r="L1510" s="16"/>
      <c r="M1510" s="16"/>
      <c r="N1510" s="16"/>
      <c r="O1510" s="16"/>
      <c r="P1510" s="16"/>
      <c r="Q1510" s="16"/>
      <c r="R1510" s="16"/>
      <c r="S1510" s="16"/>
      <c r="T1510" s="16" t="e">
        <f>#REF!</f>
        <v>#REF!</v>
      </c>
      <c r="U1510" s="16"/>
      <c r="V1510" s="16"/>
      <c r="W1510" s="16"/>
      <c r="X1510" s="16"/>
      <c r="Y1510" s="16"/>
      <c r="Z1510" s="502">
        <f t="shared" si="1244"/>
        <v>33096.35</v>
      </c>
      <c r="AA1510" s="541">
        <f t="shared" si="1244"/>
        <v>29312.5</v>
      </c>
      <c r="AB1510" s="16">
        <f t="shared" si="1244"/>
        <v>25062.5</v>
      </c>
      <c r="AC1510" s="16">
        <f t="shared" ref="AC1510:AD1510" si="1247">AC1504+AC1507</f>
        <v>20812.5</v>
      </c>
      <c r="AD1510" s="16">
        <f t="shared" si="1247"/>
        <v>16812.5</v>
      </c>
      <c r="AE1510" s="16">
        <f>AE1504</f>
        <v>12812.5</v>
      </c>
      <c r="AF1510" s="16">
        <f t="shared" ref="AF1510:AS1510" si="1248">AF1504</f>
        <v>11812.5</v>
      </c>
      <c r="AG1510" s="16">
        <f t="shared" si="1248"/>
        <v>10812.5</v>
      </c>
      <c r="AH1510" s="16">
        <f t="shared" si="1248"/>
        <v>9812.5</v>
      </c>
      <c r="AI1510" s="16">
        <f t="shared" si="1248"/>
        <v>8812.5</v>
      </c>
      <c r="AJ1510" s="16">
        <f t="shared" si="1248"/>
        <v>7812.5</v>
      </c>
      <c r="AK1510" s="16">
        <f t="shared" si="1248"/>
        <v>7012.5</v>
      </c>
      <c r="AL1510" s="16">
        <f t="shared" si="1248"/>
        <v>6212.5</v>
      </c>
      <c r="AM1510" s="16">
        <f t="shared" si="1248"/>
        <v>5412.5</v>
      </c>
      <c r="AN1510" s="16">
        <f t="shared" si="1248"/>
        <v>4612.5</v>
      </c>
      <c r="AO1510" s="16">
        <f t="shared" si="1248"/>
        <v>3812.5</v>
      </c>
      <c r="AP1510" s="16">
        <f t="shared" si="1248"/>
        <v>3012.5</v>
      </c>
      <c r="AQ1510" s="16">
        <f t="shared" si="1248"/>
        <v>2162.5</v>
      </c>
      <c r="AR1510" s="16">
        <f t="shared" si="1248"/>
        <v>1312.5</v>
      </c>
      <c r="AS1510" s="16">
        <f t="shared" si="1248"/>
        <v>656.26</v>
      </c>
      <c r="AT1510" s="20" t="s">
        <v>11</v>
      </c>
    </row>
    <row r="1511" spans="1:46" s="8" customFormat="1" ht="13.8" thickBot="1" x14ac:dyDescent="0.3">
      <c r="A1511" s="122"/>
      <c r="B1511" s="122"/>
      <c r="C1511" s="307"/>
      <c r="D1511" s="91"/>
      <c r="E1511" s="91"/>
      <c r="F1511" s="91"/>
      <c r="G1511" s="355" t="s">
        <v>1388</v>
      </c>
      <c r="H1511" s="91"/>
      <c r="I1511" s="91"/>
      <c r="J1511" s="52" t="s">
        <v>5</v>
      </c>
      <c r="K1511" s="53">
        <f>K1510+K1509</f>
        <v>926177.61</v>
      </c>
      <c r="L1511" s="46"/>
      <c r="M1511" s="46"/>
      <c r="N1511" s="46"/>
      <c r="O1511" s="46"/>
      <c r="P1511" s="46"/>
      <c r="Q1511" s="46"/>
      <c r="R1511" s="46"/>
      <c r="S1511" s="46"/>
      <c r="T1511" s="46" t="e">
        <f t="shared" ref="T1511" si="1249">T1510+T1509</f>
        <v>#REF!</v>
      </c>
      <c r="U1511" s="46"/>
      <c r="V1511" s="46"/>
      <c r="W1511" s="46"/>
      <c r="X1511" s="46"/>
      <c r="Y1511" s="46"/>
      <c r="Z1511" s="503">
        <f t="shared" ref="Z1511:AQ1511" si="1250">Z1510+Z1509</f>
        <v>118096.35</v>
      </c>
      <c r="AA1511" s="542">
        <f t="shared" si="1250"/>
        <v>114312.5</v>
      </c>
      <c r="AB1511" s="46">
        <f t="shared" si="1250"/>
        <v>110062.5</v>
      </c>
      <c r="AC1511" s="46">
        <f t="shared" si="1250"/>
        <v>100812.5</v>
      </c>
      <c r="AD1511" s="46">
        <f t="shared" si="1250"/>
        <v>96812.5</v>
      </c>
      <c r="AE1511" s="46">
        <f t="shared" si="1250"/>
        <v>32812.5</v>
      </c>
      <c r="AF1511" s="46">
        <f t="shared" si="1250"/>
        <v>31812.5</v>
      </c>
      <c r="AG1511" s="46">
        <f t="shared" si="1250"/>
        <v>30812.5</v>
      </c>
      <c r="AH1511" s="46">
        <f t="shared" si="1250"/>
        <v>29812.5</v>
      </c>
      <c r="AI1511" s="46">
        <f t="shared" si="1250"/>
        <v>28812.5</v>
      </c>
      <c r="AJ1511" s="46">
        <f t="shared" si="1250"/>
        <v>27812.5</v>
      </c>
      <c r="AK1511" s="46">
        <f t="shared" si="1250"/>
        <v>27012.5</v>
      </c>
      <c r="AL1511" s="46">
        <f t="shared" si="1250"/>
        <v>26212.5</v>
      </c>
      <c r="AM1511" s="46">
        <f t="shared" si="1250"/>
        <v>25412.5</v>
      </c>
      <c r="AN1511" s="46">
        <f t="shared" si="1250"/>
        <v>24612.5</v>
      </c>
      <c r="AO1511" s="46">
        <f t="shared" si="1250"/>
        <v>23812.5</v>
      </c>
      <c r="AP1511" s="46">
        <f t="shared" si="1250"/>
        <v>23012.5</v>
      </c>
      <c r="AQ1511" s="46">
        <f t="shared" si="1250"/>
        <v>22162.5</v>
      </c>
      <c r="AR1511" s="46">
        <f t="shared" ref="AR1511:AS1511" si="1251">AR1510+AR1509</f>
        <v>16312.5</v>
      </c>
      <c r="AS1511" s="46">
        <f t="shared" si="1251"/>
        <v>15656.26</v>
      </c>
      <c r="AT1511" s="47" t="s">
        <v>11</v>
      </c>
    </row>
    <row r="1512" spans="1:46" s="3" customFormat="1" x14ac:dyDescent="0.25">
      <c r="A1512" s="121"/>
      <c r="B1512" s="121"/>
      <c r="C1512" s="306"/>
      <c r="D1512" s="102"/>
      <c r="E1512" s="285"/>
      <c r="F1512" s="102"/>
      <c r="G1512" s="103" t="s">
        <v>1387</v>
      </c>
      <c r="H1512" s="103"/>
      <c r="I1512" s="103"/>
      <c r="J1512" s="104" t="s">
        <v>1</v>
      </c>
      <c r="K1512" s="105">
        <f>K1488+K1500+K1509</f>
        <v>6140000</v>
      </c>
      <c r="L1512" s="7"/>
      <c r="M1512" s="7"/>
      <c r="N1512" s="67"/>
      <c r="O1512" s="67"/>
      <c r="P1512" s="67"/>
      <c r="Q1512" s="67"/>
      <c r="R1512" s="67"/>
      <c r="S1512" s="67"/>
      <c r="T1512" s="67" t="e">
        <f>#REF!+#REF!+#REF!</f>
        <v>#REF!</v>
      </c>
      <c r="U1512" s="67"/>
      <c r="V1512" s="67"/>
      <c r="W1512" s="67"/>
      <c r="X1512" s="67"/>
      <c r="Y1512" s="67"/>
      <c r="Z1512" s="507">
        <f t="shared" ref="Z1512:AS1512" si="1252">Z1488+Z1500+Z1509</f>
        <v>420000</v>
      </c>
      <c r="AA1512" s="546">
        <f t="shared" si="1252"/>
        <v>420000</v>
      </c>
      <c r="AB1512" s="67">
        <f t="shared" si="1252"/>
        <v>420000</v>
      </c>
      <c r="AC1512" s="67">
        <f t="shared" si="1252"/>
        <v>410000</v>
      </c>
      <c r="AD1512" s="67">
        <f t="shared" si="1252"/>
        <v>410000</v>
      </c>
      <c r="AE1512" s="67">
        <f t="shared" si="1252"/>
        <v>325000</v>
      </c>
      <c r="AF1512" s="67">
        <f t="shared" si="1252"/>
        <v>325000</v>
      </c>
      <c r="AG1512" s="67">
        <f t="shared" si="1252"/>
        <v>325000</v>
      </c>
      <c r="AH1512" s="67">
        <f t="shared" si="1252"/>
        <v>320000</v>
      </c>
      <c r="AI1512" s="67">
        <f t="shared" si="1252"/>
        <v>310000</v>
      </c>
      <c r="AJ1512" s="67">
        <f t="shared" si="1252"/>
        <v>295000</v>
      </c>
      <c r="AK1512" s="67">
        <f t="shared" si="1252"/>
        <v>295000</v>
      </c>
      <c r="AL1512" s="67">
        <f t="shared" si="1252"/>
        <v>295000</v>
      </c>
      <c r="AM1512" s="67">
        <f t="shared" si="1252"/>
        <v>290000</v>
      </c>
      <c r="AN1512" s="67">
        <f t="shared" si="1252"/>
        <v>220000</v>
      </c>
      <c r="AO1512" s="67">
        <f t="shared" si="1252"/>
        <v>200000</v>
      </c>
      <c r="AP1512" s="67">
        <f t="shared" si="1252"/>
        <v>200000</v>
      </c>
      <c r="AQ1512" s="67">
        <f t="shared" si="1252"/>
        <v>200000</v>
      </c>
      <c r="AR1512" s="67">
        <f t="shared" si="1252"/>
        <v>195000</v>
      </c>
      <c r="AS1512" s="67">
        <f t="shared" si="1252"/>
        <v>195000</v>
      </c>
      <c r="AT1512" s="3" t="s">
        <v>11</v>
      </c>
    </row>
    <row r="1513" spans="1:46" s="3" customFormat="1" ht="13.8" thickBot="1" x14ac:dyDescent="0.3">
      <c r="A1513" s="121"/>
      <c r="B1513" s="121"/>
      <c r="C1513" s="306"/>
      <c r="D1513" s="104"/>
      <c r="E1513" s="285" t="s">
        <v>1392</v>
      </c>
      <c r="F1513" s="104"/>
      <c r="G1513" s="399" t="s">
        <v>1390</v>
      </c>
      <c r="H1513" s="103"/>
      <c r="I1513" s="103"/>
      <c r="J1513" s="106" t="s">
        <v>2</v>
      </c>
      <c r="K1513" s="107">
        <f>K1489+K1501+K1510</f>
        <v>2466211.64</v>
      </c>
      <c r="L1513" s="22"/>
      <c r="M1513" s="22"/>
      <c r="N1513" s="22"/>
      <c r="O1513" s="22"/>
      <c r="P1513" s="22"/>
      <c r="Q1513" s="22"/>
      <c r="R1513" s="22"/>
      <c r="S1513" s="22"/>
      <c r="T1513" s="22" t="e">
        <f>#REF!+#REF!+#REF!</f>
        <v>#REF!</v>
      </c>
      <c r="U1513" s="22"/>
      <c r="V1513" s="22"/>
      <c r="W1513" s="22"/>
      <c r="X1513" s="22"/>
      <c r="Y1513" s="22"/>
      <c r="Z1513" s="506">
        <f t="shared" ref="Z1513:AS1513" si="1253">Z1489+Z1501+Z1510</f>
        <v>280955.38</v>
      </c>
      <c r="AA1513" s="545">
        <f t="shared" si="1253"/>
        <v>263912.5</v>
      </c>
      <c r="AB1513" s="22">
        <f t="shared" si="1253"/>
        <v>242912.5</v>
      </c>
      <c r="AC1513" s="22">
        <f t="shared" si="1253"/>
        <v>221912.5</v>
      </c>
      <c r="AD1513" s="22">
        <f t="shared" si="1253"/>
        <v>201412.5</v>
      </c>
      <c r="AE1513" s="22">
        <f t="shared" si="1253"/>
        <v>180912.5</v>
      </c>
      <c r="AF1513" s="22">
        <f t="shared" si="1253"/>
        <v>164662.5</v>
      </c>
      <c r="AG1513" s="22">
        <f t="shared" si="1253"/>
        <v>148412.5</v>
      </c>
      <c r="AH1513" s="22">
        <f t="shared" si="1253"/>
        <v>132162.5</v>
      </c>
      <c r="AI1513" s="22">
        <f t="shared" si="1253"/>
        <v>116162.5</v>
      </c>
      <c r="AJ1513" s="22">
        <f t="shared" si="1253"/>
        <v>100662.5</v>
      </c>
      <c r="AK1513" s="22">
        <f t="shared" si="1253"/>
        <v>88862.5</v>
      </c>
      <c r="AL1513" s="22">
        <f t="shared" si="1253"/>
        <v>77062.5</v>
      </c>
      <c r="AM1513" s="22">
        <f t="shared" si="1253"/>
        <v>65262.5</v>
      </c>
      <c r="AN1513" s="22">
        <f t="shared" si="1253"/>
        <v>53662.5</v>
      </c>
      <c r="AO1513" s="22">
        <f t="shared" si="1253"/>
        <v>42062.5</v>
      </c>
      <c r="AP1513" s="22">
        <f t="shared" si="1253"/>
        <v>34062.5</v>
      </c>
      <c r="AQ1513" s="22">
        <f t="shared" si="1253"/>
        <v>25562.5</v>
      </c>
      <c r="AR1513" s="22">
        <f t="shared" si="1253"/>
        <v>17062.5</v>
      </c>
      <c r="AS1513" s="22">
        <f t="shared" si="1253"/>
        <v>8531.26</v>
      </c>
      <c r="AT1513" s="23" t="s">
        <v>11</v>
      </c>
    </row>
    <row r="1514" spans="1:46" s="6" customFormat="1" x14ac:dyDescent="0.25">
      <c r="A1514" s="26"/>
      <c r="B1514" s="26"/>
      <c r="C1514" s="306"/>
      <c r="D1514" s="108"/>
      <c r="E1514" s="286" t="s">
        <v>1389</v>
      </c>
      <c r="F1514" s="108"/>
      <c r="G1514" s="287" t="s">
        <v>1391</v>
      </c>
      <c r="H1514" s="103"/>
      <c r="I1514" s="103"/>
      <c r="J1514" s="109" t="s">
        <v>5</v>
      </c>
      <c r="K1514" s="110">
        <f>K1513+K1512</f>
        <v>8606211.6400000006</v>
      </c>
      <c r="L1514" s="67"/>
      <c r="M1514" s="67"/>
      <c r="N1514" s="282"/>
      <c r="O1514" s="282"/>
      <c r="P1514" s="282"/>
      <c r="Q1514" s="282"/>
      <c r="R1514" s="282"/>
      <c r="S1514" s="282"/>
      <c r="T1514" s="282" t="e">
        <f t="shared" ref="T1514" si="1254">T1513+T1512</f>
        <v>#REF!</v>
      </c>
      <c r="U1514" s="282"/>
      <c r="V1514" s="282"/>
      <c r="W1514" s="282"/>
      <c r="X1514" s="282"/>
      <c r="Y1514" s="282"/>
      <c r="Z1514" s="508">
        <f t="shared" ref="Z1514:AQ1514" si="1255">Z1513+Z1512</f>
        <v>700955.38</v>
      </c>
      <c r="AA1514" s="551">
        <f t="shared" si="1255"/>
        <v>683912.5</v>
      </c>
      <c r="AB1514" s="282">
        <f t="shared" si="1255"/>
        <v>662912.5</v>
      </c>
      <c r="AC1514" s="282">
        <f t="shared" si="1255"/>
        <v>631912.5</v>
      </c>
      <c r="AD1514" s="282">
        <f t="shared" si="1255"/>
        <v>611412.5</v>
      </c>
      <c r="AE1514" s="282">
        <f t="shared" si="1255"/>
        <v>505912.5</v>
      </c>
      <c r="AF1514" s="282">
        <f t="shared" si="1255"/>
        <v>489662.5</v>
      </c>
      <c r="AG1514" s="282">
        <f t="shared" si="1255"/>
        <v>473412.5</v>
      </c>
      <c r="AH1514" s="282">
        <f t="shared" si="1255"/>
        <v>452162.5</v>
      </c>
      <c r="AI1514" s="282">
        <f t="shared" si="1255"/>
        <v>426162.5</v>
      </c>
      <c r="AJ1514" s="282">
        <f t="shared" si="1255"/>
        <v>395662.5</v>
      </c>
      <c r="AK1514" s="282">
        <f t="shared" si="1255"/>
        <v>383862.5</v>
      </c>
      <c r="AL1514" s="282">
        <f t="shared" si="1255"/>
        <v>372062.5</v>
      </c>
      <c r="AM1514" s="282">
        <f t="shared" si="1255"/>
        <v>355262.5</v>
      </c>
      <c r="AN1514" s="282">
        <f t="shared" si="1255"/>
        <v>273662.5</v>
      </c>
      <c r="AO1514" s="282">
        <f t="shared" si="1255"/>
        <v>242062.5</v>
      </c>
      <c r="AP1514" s="282">
        <f t="shared" si="1255"/>
        <v>234062.5</v>
      </c>
      <c r="AQ1514" s="282">
        <f t="shared" si="1255"/>
        <v>225562.5</v>
      </c>
      <c r="AR1514" s="282">
        <f t="shared" ref="AR1514:AS1514" si="1256">AR1513+AR1512</f>
        <v>212062.5</v>
      </c>
      <c r="AS1514" s="282">
        <f t="shared" si="1256"/>
        <v>203531.26</v>
      </c>
      <c r="AT1514" s="134" t="s">
        <v>11</v>
      </c>
    </row>
    <row r="1515" spans="1:46" s="2" customFormat="1" x14ac:dyDescent="0.25">
      <c r="A1515" s="119"/>
      <c r="B1515" s="119"/>
      <c r="C1515" s="308"/>
      <c r="D1515" s="49"/>
      <c r="E1515" s="49"/>
      <c r="F1515" s="49"/>
      <c r="G1515" s="128" t="s">
        <v>339</v>
      </c>
      <c r="H1515" s="128"/>
      <c r="I1515" s="128"/>
      <c r="J1515" s="48"/>
      <c r="K1515" s="161"/>
      <c r="L1515" s="48"/>
      <c r="M1515" s="48"/>
      <c r="N1515" s="48"/>
      <c r="O1515" s="48"/>
      <c r="P1515" s="162"/>
      <c r="Q1515" s="162"/>
      <c r="R1515" s="162"/>
      <c r="S1515" s="162"/>
      <c r="T1515" s="162"/>
      <c r="U1515" s="48"/>
      <c r="V1515" s="48"/>
      <c r="W1515" s="48"/>
      <c r="X1515" s="48"/>
      <c r="Y1515" s="48"/>
      <c r="Z1515" s="48"/>
      <c r="AA1515" s="48"/>
      <c r="AB1515" s="48"/>
      <c r="AC1515" s="48"/>
      <c r="AD1515" s="48"/>
      <c r="AE1515" s="48"/>
      <c r="AF1515" s="48"/>
      <c r="AG1515" s="48"/>
      <c r="AH1515" s="48"/>
      <c r="AI1515" s="48"/>
      <c r="AJ1515" s="48"/>
      <c r="AK1515" s="48"/>
      <c r="AL1515" s="48"/>
      <c r="AM1515" s="48"/>
      <c r="AN1515" s="48"/>
      <c r="AO1515" s="48"/>
      <c r="AP1515" s="48"/>
      <c r="AQ1515" s="48"/>
      <c r="AR1515" s="48"/>
      <c r="AS1515" s="48"/>
      <c r="AT1515" s="48"/>
    </row>
    <row r="1516" spans="1:46" s="2" customFormat="1" x14ac:dyDescent="0.25">
      <c r="A1516" s="26" t="s">
        <v>103</v>
      </c>
      <c r="B1516" s="26"/>
      <c r="C1516" s="306"/>
      <c r="D1516" s="58" t="s">
        <v>24</v>
      </c>
      <c r="E1516" s="59">
        <v>38302</v>
      </c>
      <c r="F1516" s="441" t="s">
        <v>683</v>
      </c>
      <c r="G1516" s="60" t="s">
        <v>735</v>
      </c>
      <c r="H1516" s="60">
        <v>70770819</v>
      </c>
      <c r="I1516" s="60">
        <v>591100</v>
      </c>
      <c r="J1516" s="2" t="s">
        <v>1</v>
      </c>
      <c r="K1516" s="27">
        <v>800798.22</v>
      </c>
      <c r="L1516" s="4">
        <v>46478.28</v>
      </c>
      <c r="M1516" s="4">
        <v>52636.19</v>
      </c>
      <c r="N1516" s="4">
        <v>51777.21</v>
      </c>
      <c r="O1516" s="4">
        <v>56825.09</v>
      </c>
      <c r="P1516" s="283">
        <v>56629.39</v>
      </c>
      <c r="Q1516" s="283">
        <v>61138.54</v>
      </c>
      <c r="R1516" s="283">
        <v>60357.14</v>
      </c>
      <c r="S1516" s="283">
        <v>63928.71</v>
      </c>
      <c r="T1516" s="283">
        <v>62956.65</v>
      </c>
      <c r="U1516" s="2" t="s">
        <v>11</v>
      </c>
      <c r="Z1516" s="490"/>
      <c r="AA1516" s="60"/>
    </row>
    <row r="1517" spans="1:46" s="2" customFormat="1" x14ac:dyDescent="0.25">
      <c r="A1517" s="400" t="s">
        <v>1080</v>
      </c>
      <c r="B1517" s="26"/>
      <c r="C1517" s="306"/>
      <c r="D1517" s="58"/>
      <c r="E1517" s="59" t="s">
        <v>13</v>
      </c>
      <c r="F1517" s="59"/>
      <c r="G1517" s="60" t="s">
        <v>686</v>
      </c>
      <c r="H1517" s="60">
        <v>70770819</v>
      </c>
      <c r="I1517" s="60">
        <v>595100</v>
      </c>
      <c r="J1517" s="2" t="s">
        <v>2</v>
      </c>
      <c r="K1517" s="27">
        <v>145982.72</v>
      </c>
      <c r="L1517" s="4">
        <v>13440.8</v>
      </c>
      <c r="M1517" s="4">
        <v>10709.24</v>
      </c>
      <c r="N1517" s="4">
        <v>10085.290000000001</v>
      </c>
      <c r="O1517" s="4">
        <v>6892.2</v>
      </c>
      <c r="P1517" s="366">
        <v>4902.76</v>
      </c>
      <c r="Q1517" s="366">
        <v>2840.63</v>
      </c>
      <c r="R1517" s="366">
        <v>1050.81</v>
      </c>
      <c r="S1517" s="366">
        <v>0</v>
      </c>
      <c r="T1517" s="366">
        <v>0</v>
      </c>
      <c r="U1517" s="2" t="s">
        <v>11</v>
      </c>
      <c r="Z1517" s="490"/>
      <c r="AA1517" s="60"/>
    </row>
    <row r="1518" spans="1:46" s="2" customFormat="1" x14ac:dyDescent="0.25">
      <c r="A1518" s="26"/>
      <c r="B1518" s="26"/>
      <c r="C1518" s="306"/>
      <c r="D1518" s="58"/>
      <c r="E1518" s="59"/>
      <c r="F1518" s="59" t="s">
        <v>410</v>
      </c>
      <c r="G1518" s="60" t="s">
        <v>318</v>
      </c>
      <c r="H1518" s="60">
        <v>70770819</v>
      </c>
      <c r="I1518" s="60">
        <v>595101</v>
      </c>
      <c r="J1518" s="17" t="s">
        <v>386</v>
      </c>
      <c r="K1518" s="28">
        <v>20109.55</v>
      </c>
      <c r="L1518" s="11">
        <v>1046.3</v>
      </c>
      <c r="M1518" s="11">
        <v>936.35</v>
      </c>
      <c r="N1518" s="300">
        <f>412.84+383.05</f>
        <v>795.89</v>
      </c>
      <c r="O1518" s="11">
        <f>383.05+322.75</f>
        <v>705.8</v>
      </c>
      <c r="P1518" s="142">
        <f>322.75+262.46</f>
        <v>585.21</v>
      </c>
      <c r="Q1518" s="142">
        <f>262.46+198.62</f>
        <v>461.08</v>
      </c>
      <c r="R1518" s="142">
        <f>198.62+134.78</f>
        <v>333.4</v>
      </c>
      <c r="S1518" s="142">
        <f>134.78+67.39</f>
        <v>202.17000000000002</v>
      </c>
      <c r="T1518" s="142">
        <v>67.39</v>
      </c>
      <c r="U1518" s="368" t="s">
        <v>11</v>
      </c>
      <c r="V1518" s="17"/>
      <c r="W1518" s="17"/>
      <c r="X1518" s="17"/>
      <c r="Y1518" s="17"/>
      <c r="Z1518" s="491"/>
      <c r="AA1518" s="532"/>
      <c r="AB1518" s="17"/>
      <c r="AC1518" s="17"/>
      <c r="AD1518" s="17"/>
      <c r="AE1518" s="17"/>
      <c r="AF1518" s="17"/>
      <c r="AG1518" s="17"/>
      <c r="AH1518" s="17"/>
      <c r="AI1518" s="17"/>
      <c r="AJ1518" s="17"/>
      <c r="AK1518" s="17"/>
      <c r="AL1518" s="17"/>
      <c r="AM1518" s="17"/>
      <c r="AN1518" s="17"/>
      <c r="AO1518" s="17"/>
      <c r="AP1518" s="17"/>
      <c r="AQ1518" s="17"/>
      <c r="AR1518" s="17"/>
      <c r="AS1518" s="17"/>
      <c r="AT1518" s="17"/>
    </row>
    <row r="1519" spans="1:46" s="6" customFormat="1" ht="13.8" thickBot="1" x14ac:dyDescent="0.3">
      <c r="A1519" s="120"/>
      <c r="B1519" s="120"/>
      <c r="C1519" s="307"/>
      <c r="D1519" s="92"/>
      <c r="E1519" s="93"/>
      <c r="F1519" s="93"/>
      <c r="G1519" s="157"/>
      <c r="H1519" s="157"/>
      <c r="I1519" s="157"/>
      <c r="J1519" s="41" t="s">
        <v>5</v>
      </c>
      <c r="K1519" s="42">
        <f>K1518+K1517+K1516</f>
        <v>966890.49</v>
      </c>
      <c r="L1519" s="43">
        <f>L1518+L1517+L1516</f>
        <v>60965.38</v>
      </c>
      <c r="M1519" s="43">
        <f>M1518+M1517+M1516</f>
        <v>64281.78</v>
      </c>
      <c r="N1519" s="43">
        <f t="shared" ref="N1519:T1519" si="1257">N1518+N1517+N1516</f>
        <v>62658.39</v>
      </c>
      <c r="O1519" s="43">
        <f t="shared" si="1257"/>
        <v>64423.09</v>
      </c>
      <c r="P1519" s="43">
        <f t="shared" si="1257"/>
        <v>62117.36</v>
      </c>
      <c r="Q1519" s="43">
        <f t="shared" si="1257"/>
        <v>64440.25</v>
      </c>
      <c r="R1519" s="43">
        <f t="shared" si="1257"/>
        <v>61741.35</v>
      </c>
      <c r="S1519" s="43">
        <f t="shared" si="1257"/>
        <v>64130.879999999997</v>
      </c>
      <c r="T1519" s="43">
        <f t="shared" si="1257"/>
        <v>63024.04</v>
      </c>
      <c r="U1519" s="41" t="s">
        <v>11</v>
      </c>
      <c r="V1519" s="43"/>
      <c r="W1519" s="43"/>
      <c r="X1519" s="43"/>
      <c r="Y1519" s="43"/>
      <c r="Z1519" s="499"/>
      <c r="AA1519" s="538"/>
      <c r="AB1519" s="43"/>
      <c r="AC1519" s="41"/>
      <c r="AD1519" s="41"/>
      <c r="AE1519" s="41"/>
      <c r="AF1519" s="41"/>
      <c r="AG1519" s="41"/>
      <c r="AH1519" s="41"/>
      <c r="AI1519" s="41"/>
      <c r="AJ1519" s="41"/>
      <c r="AK1519" s="41"/>
      <c r="AL1519" s="41"/>
      <c r="AM1519" s="41"/>
      <c r="AN1519" s="41"/>
      <c r="AO1519" s="41"/>
      <c r="AP1519" s="41"/>
      <c r="AQ1519" s="41"/>
      <c r="AR1519" s="41"/>
      <c r="AS1519" s="41"/>
      <c r="AT1519" s="41"/>
    </row>
    <row r="1520" spans="1:46" s="2" customFormat="1" x14ac:dyDescent="0.25">
      <c r="A1520" s="119"/>
      <c r="B1520" s="119"/>
      <c r="C1520" s="308"/>
      <c r="D1520" s="49"/>
      <c r="E1520" s="49"/>
      <c r="F1520" s="49"/>
      <c r="G1520" s="128" t="s">
        <v>320</v>
      </c>
      <c r="H1520" s="128"/>
      <c r="I1520" s="128"/>
      <c r="J1520" s="48"/>
      <c r="K1520" s="161"/>
      <c r="L1520" s="48"/>
      <c r="M1520" s="48"/>
      <c r="N1520" s="48"/>
      <c r="O1520" s="48"/>
      <c r="P1520" s="162"/>
      <c r="Q1520" s="162"/>
      <c r="R1520" s="162"/>
      <c r="S1520" s="162"/>
      <c r="T1520" s="162"/>
      <c r="U1520" s="48"/>
      <c r="V1520" s="48"/>
      <c r="W1520" s="48"/>
      <c r="X1520" s="48"/>
      <c r="Y1520" s="48"/>
      <c r="Z1520" s="48"/>
      <c r="AA1520" s="48"/>
      <c r="AB1520" s="48"/>
      <c r="AC1520" s="48"/>
      <c r="AD1520" s="48"/>
      <c r="AE1520" s="48"/>
      <c r="AF1520" s="48"/>
      <c r="AG1520" s="48"/>
      <c r="AH1520" s="48"/>
      <c r="AI1520" s="48"/>
      <c r="AJ1520" s="48"/>
      <c r="AK1520" s="48"/>
      <c r="AL1520" s="48"/>
      <c r="AM1520" s="48"/>
      <c r="AN1520" s="48"/>
      <c r="AO1520" s="48"/>
      <c r="AP1520" s="48"/>
      <c r="AQ1520" s="48"/>
      <c r="AR1520" s="48"/>
      <c r="AS1520" s="48"/>
      <c r="AT1520" s="48"/>
    </row>
    <row r="1521" spans="1:46" s="2" customFormat="1" ht="12.75" customHeight="1" x14ac:dyDescent="0.25">
      <c r="A1521" s="26" t="s">
        <v>103</v>
      </c>
      <c r="B1521" s="26"/>
      <c r="C1521" s="306"/>
      <c r="D1521" s="58" t="s">
        <v>24</v>
      </c>
      <c r="E1521" s="59">
        <v>38302</v>
      </c>
      <c r="F1521" s="441" t="s">
        <v>683</v>
      </c>
      <c r="G1521" s="60" t="s">
        <v>736</v>
      </c>
      <c r="H1521" s="60">
        <v>70770819</v>
      </c>
      <c r="I1521" s="60">
        <v>591100</v>
      </c>
      <c r="J1521" s="2" t="s">
        <v>1</v>
      </c>
      <c r="K1521" s="27">
        <v>897262.6</v>
      </c>
      <c r="L1521" s="4">
        <v>52437.78</v>
      </c>
      <c r="M1521" s="4">
        <v>58503.53</v>
      </c>
      <c r="N1521" s="4">
        <v>57549.02</v>
      </c>
      <c r="O1521" s="4">
        <v>62356.82</v>
      </c>
      <c r="P1521" s="283">
        <v>66492.12</v>
      </c>
      <c r="Q1521" s="283">
        <v>66290.16</v>
      </c>
      <c r="R1521" s="283">
        <v>69840.97</v>
      </c>
      <c r="S1521" s="283">
        <v>72947.199999999997</v>
      </c>
      <c r="T1521" s="283">
        <v>71845.87</v>
      </c>
      <c r="U1521" s="2" t="s">
        <v>11</v>
      </c>
      <c r="Z1521" s="490"/>
      <c r="AA1521" s="60"/>
    </row>
    <row r="1522" spans="1:46" s="2" customFormat="1" ht="12.75" customHeight="1" x14ac:dyDescent="0.25">
      <c r="A1522" s="400" t="s">
        <v>1081</v>
      </c>
      <c r="B1522" s="26"/>
      <c r="C1522" s="306"/>
      <c r="D1522" s="58"/>
      <c r="E1522" s="59" t="s">
        <v>13</v>
      </c>
      <c r="F1522" s="59"/>
      <c r="G1522" s="60" t="s">
        <v>687</v>
      </c>
      <c r="H1522" s="60">
        <v>70770819</v>
      </c>
      <c r="I1522" s="60">
        <v>595100</v>
      </c>
      <c r="J1522" s="2" t="s">
        <v>2</v>
      </c>
      <c r="K1522" s="27">
        <v>163643.92000000001</v>
      </c>
      <c r="L1522" s="4">
        <v>15079.62</v>
      </c>
      <c r="M1522" s="4">
        <v>11997.49</v>
      </c>
      <c r="N1522" s="4">
        <v>11306.36</v>
      </c>
      <c r="O1522" s="4">
        <v>7747.06</v>
      </c>
      <c r="P1522" s="366">
        <v>5530.52</v>
      </c>
      <c r="Q1522" s="366">
        <v>3227.92</v>
      </c>
      <c r="R1522" s="366">
        <v>1190.55</v>
      </c>
      <c r="S1522" s="366">
        <v>0</v>
      </c>
      <c r="T1522" s="366">
        <v>0</v>
      </c>
      <c r="U1522" s="2" t="s">
        <v>11</v>
      </c>
      <c r="Z1522" s="490"/>
      <c r="AA1522" s="60"/>
    </row>
    <row r="1523" spans="1:46" s="2" customFormat="1" ht="12.75" customHeight="1" x14ac:dyDescent="0.25">
      <c r="A1523" s="26"/>
      <c r="B1523" s="26"/>
      <c r="C1523" s="306"/>
      <c r="D1523" s="58"/>
      <c r="E1523" s="59"/>
      <c r="F1523" s="59" t="s">
        <v>410</v>
      </c>
      <c r="G1523" s="60" t="s">
        <v>318</v>
      </c>
      <c r="H1523" s="60">
        <v>70770819</v>
      </c>
      <c r="I1523" s="60">
        <v>595101</v>
      </c>
      <c r="J1523" s="17" t="s">
        <v>386</v>
      </c>
      <c r="K1523" s="28">
        <v>22568.55</v>
      </c>
      <c r="L1523" s="11">
        <v>1175.1099999999999</v>
      </c>
      <c r="M1523" s="11">
        <v>1052.29</v>
      </c>
      <c r="N1523" s="300">
        <f>464.29+431.54</f>
        <v>895.83</v>
      </c>
      <c r="O1523" s="11">
        <f>431.54+365.15</f>
        <v>796.69</v>
      </c>
      <c r="P1523" s="142">
        <f>365.15+295.44</f>
        <v>660.58999999999992</v>
      </c>
      <c r="Q1523" s="142">
        <f>295.44+225.73</f>
        <v>521.16999999999996</v>
      </c>
      <c r="R1523" s="142">
        <f>225.73+152.7</f>
        <v>378.42999999999995</v>
      </c>
      <c r="S1523" s="142">
        <f>152.7+76.35</f>
        <v>229.04999999999998</v>
      </c>
      <c r="T1523" s="142">
        <v>76.349999999999994</v>
      </c>
      <c r="U1523" s="368" t="s">
        <v>11</v>
      </c>
      <c r="V1523" s="17"/>
      <c r="W1523" s="17"/>
      <c r="X1523" s="17"/>
      <c r="Y1523" s="17"/>
      <c r="Z1523" s="491"/>
      <c r="AA1523" s="532"/>
      <c r="AB1523" s="17"/>
      <c r="AC1523" s="17"/>
      <c r="AD1523" s="17"/>
      <c r="AE1523" s="17"/>
      <c r="AF1523" s="17"/>
      <c r="AG1523" s="17"/>
      <c r="AH1523" s="17"/>
      <c r="AI1523" s="17"/>
      <c r="AJ1523" s="17"/>
      <c r="AK1523" s="17"/>
      <c r="AL1523" s="17"/>
      <c r="AM1523" s="17"/>
      <c r="AN1523" s="17"/>
      <c r="AO1523" s="17"/>
      <c r="AP1523" s="17"/>
      <c r="AQ1523" s="17"/>
      <c r="AR1523" s="17"/>
      <c r="AS1523" s="17"/>
      <c r="AT1523" s="17"/>
    </row>
    <row r="1524" spans="1:46" s="6" customFormat="1" ht="13.5" customHeight="1" thickBot="1" x14ac:dyDescent="0.3">
      <c r="A1524" s="120"/>
      <c r="B1524" s="120"/>
      <c r="C1524" s="307"/>
      <c r="D1524" s="92"/>
      <c r="E1524" s="93"/>
      <c r="F1524" s="93"/>
      <c r="G1524" s="157"/>
      <c r="H1524" s="157"/>
      <c r="I1524" s="157"/>
      <c r="J1524" s="41" t="s">
        <v>5</v>
      </c>
      <c r="K1524" s="42">
        <f>K1523+K1522+K1521</f>
        <v>1083475.07</v>
      </c>
      <c r="L1524" s="43">
        <f>L1523+L1522+L1521</f>
        <v>68692.509999999995</v>
      </c>
      <c r="M1524" s="43">
        <f>M1523+M1522+M1521</f>
        <v>71553.31</v>
      </c>
      <c r="N1524" s="43">
        <f t="shared" ref="N1524" si="1258">N1523+N1522+N1521</f>
        <v>69751.209999999992</v>
      </c>
      <c r="O1524" s="43">
        <f t="shared" ref="O1524" si="1259">O1523+O1522+O1521</f>
        <v>70900.570000000007</v>
      </c>
      <c r="P1524" s="43">
        <f t="shared" ref="P1524" si="1260">P1523+P1522+P1521</f>
        <v>72683.23</v>
      </c>
      <c r="Q1524" s="43">
        <f t="shared" ref="Q1524" si="1261">Q1523+Q1522+Q1521</f>
        <v>70039.25</v>
      </c>
      <c r="R1524" s="43">
        <f t="shared" ref="R1524" si="1262">R1523+R1522+R1521</f>
        <v>71409.95</v>
      </c>
      <c r="S1524" s="43">
        <f t="shared" ref="S1524" si="1263">S1523+S1522+S1521</f>
        <v>73176.25</v>
      </c>
      <c r="T1524" s="43">
        <f t="shared" ref="T1524" si="1264">T1523+T1522+T1521</f>
        <v>71922.22</v>
      </c>
      <c r="U1524" s="41" t="s">
        <v>11</v>
      </c>
      <c r="V1524" s="43"/>
      <c r="W1524" s="43"/>
      <c r="X1524" s="43"/>
      <c r="Y1524" s="43"/>
      <c r="Z1524" s="499"/>
      <c r="AA1524" s="538"/>
      <c r="AB1524" s="43"/>
      <c r="AC1524" s="41"/>
      <c r="AD1524" s="41"/>
      <c r="AE1524" s="41"/>
      <c r="AF1524" s="41"/>
      <c r="AG1524" s="41"/>
      <c r="AH1524" s="41"/>
      <c r="AI1524" s="41"/>
      <c r="AJ1524" s="41"/>
      <c r="AK1524" s="41"/>
      <c r="AL1524" s="41"/>
      <c r="AM1524" s="41"/>
      <c r="AN1524" s="41"/>
      <c r="AO1524" s="41"/>
      <c r="AP1524" s="41"/>
      <c r="AQ1524" s="41"/>
      <c r="AR1524" s="41"/>
      <c r="AS1524" s="41"/>
      <c r="AT1524" s="41"/>
    </row>
    <row r="1525" spans="1:46" s="2" customFormat="1" x14ac:dyDescent="0.25">
      <c r="A1525" s="119"/>
      <c r="B1525" s="119"/>
      <c r="C1525" s="308"/>
      <c r="D1525" s="49"/>
      <c r="E1525" s="49"/>
      <c r="F1525" s="49"/>
      <c r="G1525" s="128" t="s">
        <v>340</v>
      </c>
      <c r="H1525" s="128"/>
      <c r="I1525" s="128"/>
      <c r="J1525" s="48"/>
      <c r="K1525" s="161"/>
      <c r="L1525" s="48"/>
      <c r="M1525" s="48"/>
      <c r="N1525" s="48"/>
      <c r="O1525" s="48"/>
      <c r="P1525" s="162"/>
      <c r="Q1525" s="162"/>
      <c r="R1525" s="162"/>
      <c r="S1525" s="162"/>
      <c r="T1525" s="162"/>
      <c r="U1525" s="48"/>
      <c r="V1525" s="48"/>
      <c r="W1525" s="48"/>
      <c r="X1525" s="48"/>
      <c r="Y1525" s="48"/>
      <c r="Z1525" s="48"/>
      <c r="AA1525" s="48"/>
      <c r="AB1525" s="48"/>
      <c r="AC1525" s="48"/>
      <c r="AD1525" s="48"/>
      <c r="AE1525" s="48"/>
      <c r="AF1525" s="48"/>
      <c r="AG1525" s="48"/>
      <c r="AH1525" s="48"/>
      <c r="AI1525" s="48"/>
      <c r="AJ1525" s="48"/>
      <c r="AK1525" s="48"/>
      <c r="AL1525" s="48"/>
      <c r="AM1525" s="48"/>
      <c r="AN1525" s="48"/>
      <c r="AO1525" s="48"/>
      <c r="AP1525" s="48"/>
      <c r="AQ1525" s="48"/>
      <c r="AR1525" s="48"/>
      <c r="AS1525" s="48"/>
      <c r="AT1525" s="48"/>
    </row>
    <row r="1526" spans="1:46" s="2" customFormat="1" x14ac:dyDescent="0.25">
      <c r="A1526" s="26" t="s">
        <v>0</v>
      </c>
      <c r="B1526" s="26"/>
      <c r="C1526" s="306"/>
      <c r="D1526" s="14" t="s">
        <v>0</v>
      </c>
      <c r="E1526" s="24">
        <v>38302</v>
      </c>
      <c r="F1526" s="442" t="s">
        <v>683</v>
      </c>
      <c r="G1526" s="35" t="s">
        <v>734</v>
      </c>
      <c r="H1526" s="158">
        <v>60770519</v>
      </c>
      <c r="I1526" s="35">
        <v>591100</v>
      </c>
      <c r="J1526" s="2" t="s">
        <v>1</v>
      </c>
      <c r="K1526" s="27">
        <v>897262.6</v>
      </c>
      <c r="L1526" s="4">
        <v>41358.17</v>
      </c>
      <c r="M1526" s="4">
        <v>40792.47</v>
      </c>
      <c r="N1526" s="4">
        <v>45964.7</v>
      </c>
      <c r="O1526" s="4">
        <v>45679.85</v>
      </c>
      <c r="P1526" s="283">
        <v>50311.59</v>
      </c>
      <c r="Q1526" s="283">
        <v>50021.47</v>
      </c>
      <c r="R1526" s="283">
        <v>54612.17</v>
      </c>
      <c r="S1526" s="283">
        <v>53881.86</v>
      </c>
      <c r="T1526" s="283">
        <v>57912.62</v>
      </c>
      <c r="U1526" s="283">
        <v>56991.43</v>
      </c>
      <c r="V1526" s="2" t="s">
        <v>11</v>
      </c>
      <c r="Z1526" s="490"/>
      <c r="AA1526" s="60"/>
    </row>
    <row r="1527" spans="1:46" s="2" customFormat="1" x14ac:dyDescent="0.25">
      <c r="A1527" s="400" t="s">
        <v>1082</v>
      </c>
      <c r="B1527" s="26"/>
      <c r="C1527" s="306"/>
      <c r="D1527" s="14"/>
      <c r="E1527" s="24" t="s">
        <v>12</v>
      </c>
      <c r="F1527" s="24"/>
      <c r="G1527" s="362" t="s">
        <v>395</v>
      </c>
      <c r="H1527" s="364">
        <v>60770519</v>
      </c>
      <c r="I1527" s="362">
        <v>595100</v>
      </c>
      <c r="J1527" s="2" t="s">
        <v>2</v>
      </c>
      <c r="K1527" s="27">
        <v>163643.92000000001</v>
      </c>
      <c r="L1527" s="4">
        <v>12229.58</v>
      </c>
      <c r="M1527" s="4">
        <v>10043.459999999999</v>
      </c>
      <c r="N1527" s="4">
        <v>8941.15</v>
      </c>
      <c r="O1527" s="4">
        <v>7315.1</v>
      </c>
      <c r="P1527" s="366">
        <v>5643.99</v>
      </c>
      <c r="Q1527" s="366">
        <v>3925.42</v>
      </c>
      <c r="R1527" s="366">
        <v>2163.58</v>
      </c>
      <c r="S1527" s="366">
        <v>884.72</v>
      </c>
      <c r="T1527" s="366">
        <v>0</v>
      </c>
      <c r="U1527" s="366">
        <v>0</v>
      </c>
      <c r="V1527" s="2" t="s">
        <v>11</v>
      </c>
      <c r="Z1527" s="490"/>
      <c r="AA1527" s="60"/>
    </row>
    <row r="1528" spans="1:46" s="2" customFormat="1" x14ac:dyDescent="0.25">
      <c r="A1528" s="26"/>
      <c r="B1528" s="26"/>
      <c r="C1528" s="306"/>
      <c r="D1528" s="14"/>
      <c r="E1528" s="24"/>
      <c r="F1528" s="24" t="s">
        <v>410</v>
      </c>
      <c r="G1528" s="15" t="s">
        <v>810</v>
      </c>
      <c r="H1528" s="364">
        <v>60770519</v>
      </c>
      <c r="I1528" s="362">
        <v>595101</v>
      </c>
      <c r="J1528" s="17" t="s">
        <v>386</v>
      </c>
      <c r="K1528" s="28">
        <v>22568.55</v>
      </c>
      <c r="L1528" s="11">
        <v>1005</v>
      </c>
      <c r="M1528" s="11">
        <v>915</v>
      </c>
      <c r="N1528" s="300">
        <f>408.33+386.25</f>
        <v>794.57999999999993</v>
      </c>
      <c r="O1528" s="11">
        <f>386.25+337.5</f>
        <v>723.75</v>
      </c>
      <c r="P1528" s="142">
        <f>337.5+285</f>
        <v>622.5</v>
      </c>
      <c r="Q1528" s="142">
        <f>285+232.5</f>
        <v>517.5</v>
      </c>
      <c r="R1528" s="142">
        <f>232.5+176.25</f>
        <v>408.75</v>
      </c>
      <c r="S1528" s="142">
        <f>176.25+120</f>
        <v>296.25</v>
      </c>
      <c r="T1528" s="142">
        <f>120+60</f>
        <v>180</v>
      </c>
      <c r="U1528" s="142">
        <v>60</v>
      </c>
      <c r="V1528" s="368" t="s">
        <v>11</v>
      </c>
      <c r="W1528" s="17"/>
      <c r="X1528" s="17"/>
      <c r="Y1528" s="17"/>
      <c r="Z1528" s="491"/>
      <c r="AA1528" s="532"/>
      <c r="AB1528" s="17"/>
      <c r="AC1528" s="17"/>
      <c r="AD1528" s="17"/>
      <c r="AE1528" s="17"/>
      <c r="AF1528" s="17"/>
      <c r="AG1528" s="17"/>
      <c r="AH1528" s="17"/>
      <c r="AI1528" s="17"/>
      <c r="AJ1528" s="17"/>
      <c r="AK1528" s="17"/>
      <c r="AL1528" s="17"/>
      <c r="AM1528" s="17"/>
      <c r="AN1528" s="17"/>
      <c r="AO1528" s="17"/>
      <c r="AP1528" s="17"/>
      <c r="AQ1528" s="17"/>
      <c r="AR1528" s="17"/>
      <c r="AS1528" s="17"/>
      <c r="AT1528" s="17"/>
    </row>
    <row r="1529" spans="1:46" s="6" customFormat="1" ht="13.8" thickBot="1" x14ac:dyDescent="0.3">
      <c r="A1529" s="120"/>
      <c r="B1529" s="120"/>
      <c r="C1529" s="307"/>
      <c r="D1529" s="87"/>
      <c r="E1529" s="88"/>
      <c r="F1529" s="88"/>
      <c r="G1529" s="363" t="s">
        <v>317</v>
      </c>
      <c r="H1529" s="363"/>
      <c r="I1529" s="363"/>
      <c r="J1529" s="41" t="s">
        <v>5</v>
      </c>
      <c r="K1529" s="42">
        <f>K1528+K1527+K1526</f>
        <v>1083475.07</v>
      </c>
      <c r="L1529" s="43">
        <f>L1528+L1527+L1526</f>
        <v>54592.75</v>
      </c>
      <c r="M1529" s="43">
        <f>M1528+M1527+M1526</f>
        <v>51750.93</v>
      </c>
      <c r="N1529" s="43">
        <f t="shared" ref="N1529" si="1265">N1528+N1527+N1526</f>
        <v>55700.429999999993</v>
      </c>
      <c r="O1529" s="43">
        <f t="shared" ref="O1529" si="1266">O1528+O1527+O1526</f>
        <v>53718.7</v>
      </c>
      <c r="P1529" s="43">
        <f t="shared" ref="P1529" si="1267">P1528+P1527+P1526</f>
        <v>56578.079999999994</v>
      </c>
      <c r="Q1529" s="43">
        <f t="shared" ref="Q1529" si="1268">Q1528+Q1527+Q1526</f>
        <v>54464.39</v>
      </c>
      <c r="R1529" s="43">
        <f t="shared" ref="R1529" si="1269">R1528+R1527+R1526</f>
        <v>57184.5</v>
      </c>
      <c r="S1529" s="43">
        <f t="shared" ref="S1529" si="1270">S1528+S1527+S1526</f>
        <v>55062.83</v>
      </c>
      <c r="T1529" s="43">
        <f t="shared" ref="T1529:U1529" si="1271">T1528+T1527+T1526</f>
        <v>58092.62</v>
      </c>
      <c r="U1529" s="43">
        <f t="shared" si="1271"/>
        <v>57051.43</v>
      </c>
      <c r="V1529" s="41" t="s">
        <v>11</v>
      </c>
      <c r="W1529" s="43"/>
      <c r="X1529" s="43"/>
      <c r="Y1529" s="43"/>
      <c r="Z1529" s="499"/>
      <c r="AA1529" s="538"/>
      <c r="AB1529" s="43"/>
      <c r="AC1529" s="41"/>
      <c r="AD1529" s="41"/>
      <c r="AE1529" s="41"/>
      <c r="AF1529" s="41"/>
      <c r="AG1529" s="41"/>
      <c r="AH1529" s="41"/>
      <c r="AI1529" s="41"/>
      <c r="AJ1529" s="41"/>
      <c r="AK1529" s="41"/>
      <c r="AL1529" s="41"/>
      <c r="AM1529" s="41"/>
      <c r="AN1529" s="41"/>
      <c r="AO1529" s="41"/>
      <c r="AP1529" s="41"/>
      <c r="AQ1529" s="41"/>
      <c r="AR1529" s="41"/>
      <c r="AS1529" s="41"/>
      <c r="AT1529" s="41"/>
    </row>
    <row r="1530" spans="1:46" s="2" customFormat="1" x14ac:dyDescent="0.25">
      <c r="A1530" s="119"/>
      <c r="B1530" s="119"/>
      <c r="C1530" s="308"/>
      <c r="D1530" s="49"/>
      <c r="E1530" s="49"/>
      <c r="F1530" s="49"/>
      <c r="G1530" s="128" t="s">
        <v>323</v>
      </c>
      <c r="H1530" s="128"/>
      <c r="I1530" s="128"/>
      <c r="J1530" s="48"/>
      <c r="K1530" s="161"/>
      <c r="L1530" s="48"/>
      <c r="M1530" s="48"/>
      <c r="N1530" s="48"/>
      <c r="O1530" s="48"/>
      <c r="P1530" s="162"/>
      <c r="Q1530" s="162"/>
      <c r="R1530" s="162"/>
      <c r="S1530" s="162"/>
      <c r="T1530" s="162"/>
      <c r="U1530" s="48"/>
      <c r="V1530" s="48"/>
      <c r="W1530" s="48"/>
      <c r="X1530" s="48"/>
      <c r="Y1530" s="48"/>
      <c r="Z1530" s="48"/>
      <c r="AA1530" s="48"/>
      <c r="AB1530" s="48"/>
      <c r="AC1530" s="48"/>
      <c r="AD1530" s="48"/>
      <c r="AE1530" s="48"/>
      <c r="AF1530" s="48"/>
      <c r="AG1530" s="48"/>
      <c r="AH1530" s="48"/>
      <c r="AI1530" s="48"/>
      <c r="AJ1530" s="48"/>
      <c r="AK1530" s="48"/>
      <c r="AL1530" s="48"/>
      <c r="AM1530" s="48"/>
      <c r="AN1530" s="48"/>
      <c r="AO1530" s="48"/>
      <c r="AP1530" s="48"/>
      <c r="AQ1530" s="48"/>
      <c r="AR1530" s="48"/>
      <c r="AS1530" s="48"/>
      <c r="AT1530" s="48"/>
    </row>
    <row r="1531" spans="1:46" s="2" customFormat="1" x14ac:dyDescent="0.25">
      <c r="A1531" s="26" t="s">
        <v>4</v>
      </c>
      <c r="B1531" s="26"/>
      <c r="C1531" s="306"/>
      <c r="D1531" s="10" t="s">
        <v>4</v>
      </c>
      <c r="E1531" s="25">
        <v>38302</v>
      </c>
      <c r="F1531" s="443" t="s">
        <v>683</v>
      </c>
      <c r="G1531" s="12" t="s">
        <v>737</v>
      </c>
      <c r="H1531" s="159">
        <v>61770519</v>
      </c>
      <c r="I1531" s="12">
        <v>591100</v>
      </c>
      <c r="J1531" s="2" t="s">
        <v>1</v>
      </c>
      <c r="K1531" s="27">
        <v>2271557.37</v>
      </c>
      <c r="L1531" s="4">
        <v>125898.87</v>
      </c>
      <c r="M1531" s="4">
        <v>131365.37</v>
      </c>
      <c r="N1531" s="4">
        <v>140419.24</v>
      </c>
      <c r="O1531" s="4">
        <v>141866.03</v>
      </c>
      <c r="P1531" s="283">
        <v>151175.31</v>
      </c>
      <c r="Q1531" s="283">
        <v>154077.39000000001</v>
      </c>
      <c r="R1531" s="283">
        <v>162220.29999999999</v>
      </c>
      <c r="S1531" s="283">
        <v>169281.44</v>
      </c>
      <c r="T1531" s="283">
        <v>175472.01</v>
      </c>
      <c r="U1531" s="283">
        <v>176873.06</v>
      </c>
      <c r="V1531" s="2" t="s">
        <v>11</v>
      </c>
      <c r="Z1531" s="490"/>
      <c r="AA1531" s="60"/>
    </row>
    <row r="1532" spans="1:46" s="2" customFormat="1" x14ac:dyDescent="0.25">
      <c r="A1532" s="400" t="s">
        <v>1083</v>
      </c>
      <c r="B1532" s="26"/>
      <c r="C1532" s="306"/>
      <c r="D1532" s="10"/>
      <c r="E1532" s="25" t="s">
        <v>13</v>
      </c>
      <c r="F1532" s="25"/>
      <c r="G1532" s="12" t="s">
        <v>700</v>
      </c>
      <c r="H1532" s="159">
        <v>61770519</v>
      </c>
      <c r="I1532" s="12">
        <v>595100</v>
      </c>
      <c r="J1532" s="2" t="s">
        <v>2</v>
      </c>
      <c r="K1532" s="27">
        <v>492370.72</v>
      </c>
      <c r="L1532" s="4">
        <v>43046.18</v>
      </c>
      <c r="M1532" s="4">
        <v>36461.870000000003</v>
      </c>
      <c r="N1532" s="4">
        <v>29692.86</v>
      </c>
      <c r="O1532" s="4">
        <v>25960.639999999999</v>
      </c>
      <c r="P1532" s="366">
        <v>19926.560000000001</v>
      </c>
      <c r="Q1532" s="366">
        <v>14487.77</v>
      </c>
      <c r="R1532" s="366">
        <v>8298.51</v>
      </c>
      <c r="S1532" s="366">
        <v>3485.42</v>
      </c>
      <c r="T1532" s="366">
        <v>0</v>
      </c>
      <c r="U1532" s="366">
        <v>0</v>
      </c>
      <c r="V1532" s="2" t="s">
        <v>11</v>
      </c>
      <c r="Z1532" s="490"/>
      <c r="AA1532" s="60"/>
    </row>
    <row r="1533" spans="1:46" s="2" customFormat="1" x14ac:dyDescent="0.25">
      <c r="A1533" s="26"/>
      <c r="B1533" s="26"/>
      <c r="C1533" s="306"/>
      <c r="D1533" s="10"/>
      <c r="E1533" s="25"/>
      <c r="F1533" s="25" t="s">
        <v>410</v>
      </c>
      <c r="G1533" s="12" t="s">
        <v>701</v>
      </c>
      <c r="H1533" s="159">
        <v>61770519</v>
      </c>
      <c r="I1533" s="12">
        <v>595101</v>
      </c>
      <c r="J1533" s="17" t="s">
        <v>386</v>
      </c>
      <c r="K1533" s="28">
        <v>65586.95</v>
      </c>
      <c r="L1533" s="11">
        <v>3225</v>
      </c>
      <c r="M1533" s="11">
        <v>2932.5</v>
      </c>
      <c r="N1533" s="300">
        <f>1305.97+1237.5</f>
        <v>2543.4700000000003</v>
      </c>
      <c r="O1533" s="11">
        <f>1237.5+1080</f>
        <v>2317.5</v>
      </c>
      <c r="P1533" s="142">
        <f>1080+915</f>
        <v>1995</v>
      </c>
      <c r="Q1533" s="142">
        <f>915+746.25</f>
        <v>1661.25</v>
      </c>
      <c r="R1533" s="142">
        <v>1316.25</v>
      </c>
      <c r="S1533" s="142">
        <f>570+386.25</f>
        <v>956.25</v>
      </c>
      <c r="T1533" s="142">
        <f>386.25+195</f>
        <v>581.25</v>
      </c>
      <c r="U1533" s="142">
        <v>195</v>
      </c>
      <c r="V1533" s="368" t="s">
        <v>11</v>
      </c>
      <c r="W1533" s="17"/>
      <c r="X1533" s="17"/>
      <c r="Y1533" s="17"/>
      <c r="Z1533" s="491"/>
      <c r="AA1533" s="532"/>
      <c r="AB1533" s="17"/>
      <c r="AC1533" s="17"/>
      <c r="AD1533" s="17"/>
      <c r="AE1533" s="17"/>
      <c r="AF1533" s="17"/>
      <c r="AG1533" s="17"/>
      <c r="AH1533" s="17"/>
      <c r="AI1533" s="17"/>
      <c r="AJ1533" s="17"/>
      <c r="AK1533" s="17"/>
      <c r="AL1533" s="17"/>
      <c r="AM1533" s="17"/>
      <c r="AN1533" s="17"/>
      <c r="AO1533" s="17"/>
      <c r="AP1533" s="17"/>
      <c r="AQ1533" s="17"/>
      <c r="AR1533" s="17"/>
      <c r="AS1533" s="17"/>
      <c r="AT1533" s="17"/>
    </row>
    <row r="1534" spans="1:46" s="6" customFormat="1" ht="13.8" thickBot="1" x14ac:dyDescent="0.3">
      <c r="A1534" s="120"/>
      <c r="B1534" s="120"/>
      <c r="C1534" s="307"/>
      <c r="D1534" s="91"/>
      <c r="E1534" s="90"/>
      <c r="F1534" s="90"/>
      <c r="G1534" s="124" t="s">
        <v>322</v>
      </c>
      <c r="H1534" s="124"/>
      <c r="I1534" s="124"/>
      <c r="J1534" s="41" t="s">
        <v>5</v>
      </c>
      <c r="K1534" s="42">
        <f>K1533+K1532+K1531</f>
        <v>2829515.04</v>
      </c>
      <c r="L1534" s="43">
        <f>L1533+L1532+L1531</f>
        <v>172170.05</v>
      </c>
      <c r="M1534" s="43">
        <f>M1533+M1532+M1531</f>
        <v>170759.74</v>
      </c>
      <c r="N1534" s="43">
        <f t="shared" ref="N1534:U1534" si="1272">N1533+N1532+N1531</f>
        <v>172655.57</v>
      </c>
      <c r="O1534" s="43">
        <f t="shared" si="1272"/>
        <v>170144.16999999998</v>
      </c>
      <c r="P1534" s="43">
        <f t="shared" si="1272"/>
        <v>173096.87</v>
      </c>
      <c r="Q1534" s="43">
        <f t="shared" si="1272"/>
        <v>170226.41</v>
      </c>
      <c r="R1534" s="43">
        <f t="shared" si="1272"/>
        <v>171835.06</v>
      </c>
      <c r="S1534" s="43">
        <f t="shared" si="1272"/>
        <v>173723.11000000002</v>
      </c>
      <c r="T1534" s="43">
        <f t="shared" si="1272"/>
        <v>176053.26</v>
      </c>
      <c r="U1534" s="43">
        <f t="shared" si="1272"/>
        <v>177068.06</v>
      </c>
      <c r="V1534" s="41" t="s">
        <v>11</v>
      </c>
      <c r="W1534" s="43"/>
      <c r="X1534" s="43"/>
      <c r="Y1534" s="43"/>
      <c r="Z1534" s="499"/>
      <c r="AA1534" s="538"/>
      <c r="AB1534" s="43"/>
      <c r="AC1534" s="41"/>
      <c r="AD1534" s="41"/>
      <c r="AE1534" s="41"/>
      <c r="AF1534" s="41"/>
      <c r="AG1534" s="41"/>
      <c r="AH1534" s="41"/>
      <c r="AI1534" s="41"/>
      <c r="AJ1534" s="41"/>
      <c r="AK1534" s="41"/>
      <c r="AL1534" s="41"/>
      <c r="AM1534" s="41"/>
      <c r="AN1534" s="41"/>
      <c r="AO1534" s="41"/>
      <c r="AP1534" s="41"/>
      <c r="AQ1534" s="41"/>
      <c r="AR1534" s="41"/>
      <c r="AS1534" s="41"/>
      <c r="AT1534" s="41"/>
    </row>
    <row r="1535" spans="1:46" s="2" customFormat="1" x14ac:dyDescent="0.25">
      <c r="A1535" s="119"/>
      <c r="B1535" s="119"/>
      <c r="C1535" s="308"/>
      <c r="D1535" s="49"/>
      <c r="E1535" s="49"/>
      <c r="F1535" s="49"/>
      <c r="G1535" s="128" t="s">
        <v>321</v>
      </c>
      <c r="H1535" s="128"/>
      <c r="I1535" s="128"/>
      <c r="J1535" s="48"/>
      <c r="K1535" s="161"/>
      <c r="L1535" s="48"/>
      <c r="M1535" s="48"/>
      <c r="N1535" s="48"/>
      <c r="O1535" s="48"/>
      <c r="P1535" s="162"/>
      <c r="Q1535" s="162"/>
      <c r="R1535" s="162"/>
      <c r="S1535" s="162"/>
      <c r="T1535" s="162"/>
      <c r="U1535" s="48"/>
      <c r="V1535" s="48"/>
      <c r="W1535" s="48"/>
      <c r="X1535" s="48"/>
      <c r="Y1535" s="48"/>
      <c r="Z1535" s="48"/>
      <c r="AA1535" s="48"/>
      <c r="AB1535" s="48"/>
      <c r="AC1535" s="48"/>
      <c r="AD1535" s="48"/>
      <c r="AE1535" s="48"/>
      <c r="AF1535" s="48"/>
      <c r="AG1535" s="48"/>
      <c r="AH1535" s="48"/>
      <c r="AI1535" s="48"/>
      <c r="AJ1535" s="48"/>
      <c r="AK1535" s="48"/>
      <c r="AL1535" s="48"/>
      <c r="AM1535" s="48"/>
      <c r="AN1535" s="48"/>
      <c r="AO1535" s="48"/>
      <c r="AP1535" s="48"/>
      <c r="AQ1535" s="48"/>
      <c r="AR1535" s="48"/>
      <c r="AS1535" s="48"/>
      <c r="AT1535" s="48"/>
    </row>
    <row r="1536" spans="1:46" s="2" customFormat="1" x14ac:dyDescent="0.25">
      <c r="A1536" s="26" t="s">
        <v>4</v>
      </c>
      <c r="B1536" s="26"/>
      <c r="C1536" s="306"/>
      <c r="D1536" s="10" t="s">
        <v>4</v>
      </c>
      <c r="E1536" s="25">
        <v>38302</v>
      </c>
      <c r="F1536" s="443" t="s">
        <v>683</v>
      </c>
      <c r="G1536" s="12" t="s">
        <v>724</v>
      </c>
      <c r="H1536" s="159">
        <v>61770719</v>
      </c>
      <c r="I1536" s="12">
        <v>591100</v>
      </c>
      <c r="J1536" s="2" t="s">
        <v>1</v>
      </c>
      <c r="K1536" s="27">
        <v>198216.37</v>
      </c>
      <c r="L1536" s="4">
        <v>11883.1</v>
      </c>
      <c r="M1536" s="4">
        <v>11397.61</v>
      </c>
      <c r="N1536" s="4">
        <v>11113.67</v>
      </c>
      <c r="O1536" s="4">
        <v>11018.65</v>
      </c>
      <c r="P1536" s="283">
        <v>10726.7</v>
      </c>
      <c r="Q1536" s="283">
        <v>15405.34</v>
      </c>
      <c r="R1536" s="283">
        <v>14963.37</v>
      </c>
      <c r="S1536" s="283">
        <v>14464.07</v>
      </c>
      <c r="T1536" s="283">
        <v>14045.55</v>
      </c>
      <c r="U1536" s="283">
        <v>13356.5</v>
      </c>
      <c r="V1536" s="2" t="s">
        <v>11</v>
      </c>
      <c r="Z1536" s="490"/>
      <c r="AA1536" s="60"/>
    </row>
    <row r="1537" spans="1:46" s="2" customFormat="1" x14ac:dyDescent="0.25">
      <c r="A1537" s="400" t="s">
        <v>1084</v>
      </c>
      <c r="B1537" s="26"/>
      <c r="C1537" s="306"/>
      <c r="D1537" s="10"/>
      <c r="E1537" s="25" t="s">
        <v>13</v>
      </c>
      <c r="F1537" s="25"/>
      <c r="G1537" s="12" t="s">
        <v>700</v>
      </c>
      <c r="H1537" s="159">
        <v>61770719</v>
      </c>
      <c r="I1537" s="12">
        <v>595100</v>
      </c>
      <c r="J1537" s="2" t="s">
        <v>2</v>
      </c>
      <c r="K1537" s="27">
        <v>33014.910000000003</v>
      </c>
      <c r="L1537" s="4">
        <v>2583.23</v>
      </c>
      <c r="M1537" s="4">
        <v>2328.41</v>
      </c>
      <c r="N1537" s="4">
        <v>2073.58</v>
      </c>
      <c r="O1537" s="4">
        <v>1818.75</v>
      </c>
      <c r="P1537" s="366">
        <v>1563.92</v>
      </c>
      <c r="Q1537" s="366">
        <v>1309.0899999999999</v>
      </c>
      <c r="R1537" s="366">
        <v>969.32</v>
      </c>
      <c r="S1537" s="366">
        <v>629.54999999999995</v>
      </c>
      <c r="T1537" s="366">
        <v>314.77</v>
      </c>
      <c r="U1537" s="366">
        <v>0</v>
      </c>
      <c r="V1537" s="2" t="s">
        <v>11</v>
      </c>
      <c r="Z1537" s="490"/>
      <c r="AA1537" s="60"/>
    </row>
    <row r="1538" spans="1:46" s="2" customFormat="1" x14ac:dyDescent="0.25">
      <c r="A1538" s="26"/>
      <c r="B1538" s="26"/>
      <c r="C1538" s="306"/>
      <c r="D1538" s="10"/>
      <c r="E1538" s="25"/>
      <c r="F1538" s="25" t="s">
        <v>410</v>
      </c>
      <c r="G1538" s="12" t="s">
        <v>702</v>
      </c>
      <c r="H1538" s="159">
        <v>61770719</v>
      </c>
      <c r="I1538" s="12">
        <v>595101</v>
      </c>
      <c r="J1538" s="17" t="s">
        <v>386</v>
      </c>
      <c r="K1538" s="28">
        <v>4980.59</v>
      </c>
      <c r="L1538" s="11">
        <v>262.5</v>
      </c>
      <c r="M1538" s="11">
        <v>240</v>
      </c>
      <c r="N1538" s="300">
        <f>108.75+102.08</f>
        <v>210.82999999999998</v>
      </c>
      <c r="O1538" s="11">
        <f>97.5+97.5</f>
        <v>195</v>
      </c>
      <c r="P1538" s="142">
        <f>86.25+86.25</f>
        <v>172.5</v>
      </c>
      <c r="Q1538" s="142">
        <f>75+75</f>
        <v>150</v>
      </c>
      <c r="R1538" s="142">
        <f>60+60</f>
        <v>120</v>
      </c>
      <c r="S1538" s="142">
        <f>45+45</f>
        <v>90</v>
      </c>
      <c r="T1538" s="142">
        <f>30+30</f>
        <v>60</v>
      </c>
      <c r="U1538" s="142">
        <f>15+15</f>
        <v>30</v>
      </c>
      <c r="V1538" s="368" t="s">
        <v>11</v>
      </c>
      <c r="W1538" s="17"/>
      <c r="X1538" s="17"/>
      <c r="Y1538" s="17"/>
      <c r="Z1538" s="491"/>
      <c r="AA1538" s="532"/>
      <c r="AB1538" s="17"/>
      <c r="AC1538" s="17"/>
      <c r="AD1538" s="17"/>
      <c r="AE1538" s="17"/>
      <c r="AF1538" s="17"/>
      <c r="AG1538" s="17"/>
      <c r="AH1538" s="17"/>
      <c r="AI1538" s="17"/>
      <c r="AJ1538" s="17"/>
      <c r="AK1538" s="17"/>
      <c r="AL1538" s="17"/>
      <c r="AM1538" s="17"/>
      <c r="AN1538" s="17"/>
      <c r="AO1538" s="17"/>
      <c r="AP1538" s="17"/>
      <c r="AQ1538" s="17"/>
      <c r="AR1538" s="17"/>
      <c r="AS1538" s="17"/>
      <c r="AT1538" s="17"/>
    </row>
    <row r="1539" spans="1:46" s="6" customFormat="1" ht="13.8" thickBot="1" x14ac:dyDescent="0.3">
      <c r="A1539" s="120"/>
      <c r="B1539" s="120"/>
      <c r="C1539" s="307"/>
      <c r="D1539" s="91"/>
      <c r="E1539" s="90"/>
      <c r="F1539" s="90"/>
      <c r="G1539" s="124" t="s">
        <v>322</v>
      </c>
      <c r="H1539" s="124"/>
      <c r="I1539" s="124"/>
      <c r="J1539" s="41" t="s">
        <v>5</v>
      </c>
      <c r="K1539" s="42">
        <f>K1538+K1537+K1536</f>
        <v>236211.87</v>
      </c>
      <c r="L1539" s="43">
        <f>L1538+L1537+L1536</f>
        <v>14728.83</v>
      </c>
      <c r="M1539" s="43">
        <f>M1538+M1537+M1536</f>
        <v>13966.02</v>
      </c>
      <c r="N1539" s="43">
        <f t="shared" ref="N1539" si="1273">N1538+N1537+N1536</f>
        <v>13398.08</v>
      </c>
      <c r="O1539" s="43">
        <f t="shared" ref="O1539" si="1274">O1538+O1537+O1536</f>
        <v>13032.4</v>
      </c>
      <c r="P1539" s="43">
        <f t="shared" ref="P1539" si="1275">P1538+P1537+P1536</f>
        <v>12463.12</v>
      </c>
      <c r="Q1539" s="43">
        <f t="shared" ref="Q1539" si="1276">Q1538+Q1537+Q1536</f>
        <v>16864.43</v>
      </c>
      <c r="R1539" s="43">
        <f t="shared" ref="R1539" si="1277">R1538+R1537+R1536</f>
        <v>16052.69</v>
      </c>
      <c r="S1539" s="43">
        <f t="shared" ref="S1539" si="1278">S1538+S1537+S1536</f>
        <v>15183.619999999999</v>
      </c>
      <c r="T1539" s="43">
        <f t="shared" ref="T1539" si="1279">T1538+T1537+T1536</f>
        <v>14420.32</v>
      </c>
      <c r="U1539" s="43">
        <f t="shared" ref="U1539" si="1280">U1538+U1537+U1536</f>
        <v>13386.5</v>
      </c>
      <c r="V1539" s="41" t="s">
        <v>11</v>
      </c>
      <c r="W1539" s="43"/>
      <c r="X1539" s="43"/>
      <c r="Y1539" s="43"/>
      <c r="Z1539" s="499"/>
      <c r="AA1539" s="538"/>
      <c r="AB1539" s="43"/>
      <c r="AC1539" s="41"/>
      <c r="AD1539" s="41"/>
      <c r="AE1539" s="41"/>
      <c r="AF1539" s="41"/>
      <c r="AG1539" s="41"/>
      <c r="AH1539" s="41"/>
      <c r="AI1539" s="41"/>
      <c r="AJ1539" s="41"/>
      <c r="AK1539" s="41"/>
      <c r="AL1539" s="41"/>
      <c r="AM1539" s="41"/>
      <c r="AN1539" s="41"/>
      <c r="AO1539" s="41"/>
      <c r="AP1539" s="41"/>
      <c r="AQ1539" s="41"/>
      <c r="AR1539" s="41"/>
      <c r="AS1539" s="41"/>
      <c r="AT1539" s="41"/>
    </row>
    <row r="1540" spans="1:46" s="2" customFormat="1" x14ac:dyDescent="0.25">
      <c r="A1540" s="119"/>
      <c r="B1540" s="119"/>
      <c r="C1540" s="308"/>
      <c r="D1540" s="49"/>
      <c r="E1540" s="49"/>
      <c r="F1540" s="49"/>
      <c r="G1540" s="128" t="s">
        <v>316</v>
      </c>
      <c r="H1540" s="128"/>
      <c r="I1540" s="128"/>
      <c r="J1540" s="48"/>
      <c r="K1540" s="161"/>
      <c r="L1540" s="48"/>
      <c r="M1540" s="48"/>
      <c r="N1540" s="48"/>
      <c r="O1540" s="48"/>
      <c r="P1540" s="162"/>
      <c r="Q1540" s="162"/>
      <c r="R1540" s="162"/>
      <c r="S1540" s="162"/>
      <c r="T1540" s="162"/>
      <c r="U1540" s="48"/>
      <c r="V1540" s="48"/>
      <c r="W1540" s="48"/>
      <c r="X1540" s="48"/>
      <c r="Y1540" s="48"/>
      <c r="Z1540" s="48"/>
      <c r="AA1540" s="48"/>
      <c r="AB1540" s="48"/>
      <c r="AC1540" s="48"/>
      <c r="AD1540" s="48"/>
      <c r="AE1540" s="48"/>
      <c r="AF1540" s="48"/>
      <c r="AG1540" s="48"/>
      <c r="AH1540" s="48"/>
      <c r="AI1540" s="48"/>
      <c r="AJ1540" s="48"/>
      <c r="AK1540" s="48"/>
      <c r="AL1540" s="48"/>
      <c r="AM1540" s="48"/>
      <c r="AN1540" s="48"/>
      <c r="AO1540" s="48"/>
      <c r="AP1540" s="48"/>
      <c r="AQ1540" s="48"/>
      <c r="AR1540" s="48"/>
      <c r="AS1540" s="48"/>
      <c r="AT1540" s="48"/>
    </row>
    <row r="1541" spans="1:46" s="2" customFormat="1" x14ac:dyDescent="0.25">
      <c r="A1541" s="26" t="s">
        <v>0</v>
      </c>
      <c r="B1541" s="26"/>
      <c r="C1541" s="306"/>
      <c r="D1541" s="33" t="s">
        <v>3</v>
      </c>
      <c r="E1541" s="34">
        <v>38302</v>
      </c>
      <c r="F1541" s="488" t="s">
        <v>683</v>
      </c>
      <c r="G1541" s="35" t="s">
        <v>725</v>
      </c>
      <c r="H1541" s="158">
        <v>1770919</v>
      </c>
      <c r="I1541" s="35">
        <v>591100</v>
      </c>
      <c r="J1541" s="2" t="s">
        <v>1</v>
      </c>
      <c r="K1541" s="27">
        <v>427717.8</v>
      </c>
      <c r="L1541" s="4">
        <v>22293.81</v>
      </c>
      <c r="M1541" s="4">
        <v>22592.38</v>
      </c>
      <c r="N1541" s="4">
        <v>22979.41</v>
      </c>
      <c r="O1541" s="4">
        <v>22492.57</v>
      </c>
      <c r="P1541" s="283">
        <v>22091.73</v>
      </c>
      <c r="Q1541" s="283">
        <v>26511.88</v>
      </c>
      <c r="R1541" s="283">
        <v>26333.63</v>
      </c>
      <c r="S1541" s="283">
        <v>26371.59</v>
      </c>
      <c r="T1541" s="283">
        <v>25329.55</v>
      </c>
      <c r="U1541" s="283">
        <v>25146.76</v>
      </c>
      <c r="V1541" s="283">
        <v>30064.18</v>
      </c>
      <c r="W1541" s="283">
        <v>29496.21</v>
      </c>
      <c r="X1541" s="2" t="s">
        <v>11</v>
      </c>
      <c r="Z1541" s="490"/>
      <c r="AA1541" s="60"/>
    </row>
    <row r="1542" spans="1:46" s="2" customFormat="1" x14ac:dyDescent="0.25">
      <c r="A1542" s="400" t="s">
        <v>1085</v>
      </c>
      <c r="B1542" s="26"/>
      <c r="C1542" s="306"/>
      <c r="D1542" s="33"/>
      <c r="E1542" s="34" t="s">
        <v>12</v>
      </c>
      <c r="F1542" s="34"/>
      <c r="G1542" s="35" t="s">
        <v>698</v>
      </c>
      <c r="H1542" s="158">
        <v>1770919</v>
      </c>
      <c r="I1542" s="35">
        <v>595100</v>
      </c>
      <c r="J1542" s="2" t="s">
        <v>2</v>
      </c>
      <c r="K1542" s="27">
        <v>71729.91</v>
      </c>
      <c r="L1542" s="4">
        <v>4880.28</v>
      </c>
      <c r="M1542" s="4">
        <v>4805.47</v>
      </c>
      <c r="N1542" s="4">
        <v>4098.21</v>
      </c>
      <c r="O1542" s="4">
        <v>3634.4</v>
      </c>
      <c r="P1542" s="366">
        <v>3216.53</v>
      </c>
      <c r="Q1542" s="366">
        <v>2742.86</v>
      </c>
      <c r="R1542" s="366">
        <v>2255.15</v>
      </c>
      <c r="S1542" s="366">
        <v>1767.33</v>
      </c>
      <c r="T1542" s="366">
        <v>1295.0899999999999</v>
      </c>
      <c r="U1542" s="366">
        <v>808.76</v>
      </c>
      <c r="V1542" s="366">
        <v>240.79</v>
      </c>
      <c r="W1542" s="366">
        <v>0</v>
      </c>
      <c r="X1542" s="2" t="s">
        <v>11</v>
      </c>
      <c r="Z1542" s="490"/>
      <c r="AA1542" s="60"/>
    </row>
    <row r="1543" spans="1:46" s="2" customFormat="1" x14ac:dyDescent="0.25">
      <c r="A1543" s="400" t="s">
        <v>1115</v>
      </c>
      <c r="B1543" s="26"/>
      <c r="C1543" s="306"/>
      <c r="D1543" s="33"/>
      <c r="E1543" s="34"/>
      <c r="F1543" s="34" t="s">
        <v>410</v>
      </c>
      <c r="G1543" s="35" t="s">
        <v>396</v>
      </c>
      <c r="H1543" s="158">
        <v>1770919</v>
      </c>
      <c r="I1543" s="35">
        <v>595101</v>
      </c>
      <c r="J1543" s="17" t="s">
        <v>386</v>
      </c>
      <c r="K1543" s="28">
        <v>10046.469999999999</v>
      </c>
      <c r="L1543" s="11">
        <v>580.88</v>
      </c>
      <c r="M1543" s="11">
        <v>538.84</v>
      </c>
      <c r="N1543" s="300">
        <f>242.89+236.25</f>
        <v>479.14</v>
      </c>
      <c r="O1543" s="11">
        <f>236.25+213.75</f>
        <v>450</v>
      </c>
      <c r="P1543" s="142">
        <f>213.75+191.25</f>
        <v>405</v>
      </c>
      <c r="Q1543" s="142">
        <f>191.25+165</f>
        <v>356.25</v>
      </c>
      <c r="R1543" s="142">
        <f>165+138.75</f>
        <v>303.75</v>
      </c>
      <c r="S1543" s="142">
        <f>138.75+112.5</f>
        <v>251.25</v>
      </c>
      <c r="T1543" s="142">
        <f>112.5+86.25</f>
        <v>198.75</v>
      </c>
      <c r="U1543" s="142">
        <f>86.25+60</f>
        <v>146.25</v>
      </c>
      <c r="V1543" s="142">
        <f>60+30</f>
        <v>90</v>
      </c>
      <c r="W1543" s="142">
        <v>30</v>
      </c>
      <c r="X1543" s="368" t="s">
        <v>11</v>
      </c>
      <c r="Y1543" s="17"/>
      <c r="Z1543" s="491"/>
      <c r="AA1543" s="532"/>
      <c r="AB1543" s="17"/>
      <c r="AC1543" s="17"/>
      <c r="AD1543" s="17"/>
      <c r="AE1543" s="17"/>
      <c r="AF1543" s="17"/>
      <c r="AG1543" s="17"/>
      <c r="AH1543" s="17"/>
      <c r="AI1543" s="17"/>
      <c r="AJ1543" s="17"/>
      <c r="AK1543" s="17"/>
      <c r="AL1543" s="17"/>
      <c r="AM1543" s="17"/>
      <c r="AN1543" s="17"/>
      <c r="AO1543" s="17"/>
      <c r="AP1543" s="17"/>
      <c r="AQ1543" s="17"/>
      <c r="AR1543" s="17"/>
      <c r="AS1543" s="17"/>
      <c r="AT1543" s="17"/>
    </row>
    <row r="1544" spans="1:46" s="6" customFormat="1" ht="13.8" thickBot="1" x14ac:dyDescent="0.3">
      <c r="A1544" s="120"/>
      <c r="B1544" s="120"/>
      <c r="C1544" s="307"/>
      <c r="D1544" s="85"/>
      <c r="E1544" s="86"/>
      <c r="F1544" s="86"/>
      <c r="G1544" s="125" t="s">
        <v>699</v>
      </c>
      <c r="H1544" s="125"/>
      <c r="I1544" s="125"/>
      <c r="J1544" s="41" t="s">
        <v>5</v>
      </c>
      <c r="K1544" s="42">
        <f>K1543+K1542+K1541</f>
        <v>509494.18</v>
      </c>
      <c r="L1544" s="43">
        <f>L1543+L1542+L1541</f>
        <v>27754.97</v>
      </c>
      <c r="M1544" s="43">
        <f>M1543+M1542+M1541</f>
        <v>27936.690000000002</v>
      </c>
      <c r="N1544" s="43">
        <f t="shared" ref="N1544:U1544" si="1281">N1543+N1542+N1541</f>
        <v>27556.760000000002</v>
      </c>
      <c r="O1544" s="43">
        <f t="shared" si="1281"/>
        <v>26576.97</v>
      </c>
      <c r="P1544" s="43">
        <f t="shared" si="1281"/>
        <v>25713.26</v>
      </c>
      <c r="Q1544" s="43">
        <f t="shared" si="1281"/>
        <v>29610.99</v>
      </c>
      <c r="R1544" s="43">
        <f t="shared" si="1281"/>
        <v>28892.530000000002</v>
      </c>
      <c r="S1544" s="43">
        <f t="shared" si="1281"/>
        <v>28390.17</v>
      </c>
      <c r="T1544" s="43">
        <f t="shared" si="1281"/>
        <v>26823.39</v>
      </c>
      <c r="U1544" s="43">
        <f t="shared" si="1281"/>
        <v>26101.769999999997</v>
      </c>
      <c r="V1544" s="43">
        <f t="shared" ref="V1544:W1544" si="1282">V1543+V1542+V1541</f>
        <v>30394.97</v>
      </c>
      <c r="W1544" s="43">
        <f t="shared" si="1282"/>
        <v>29526.21</v>
      </c>
      <c r="X1544" s="41" t="s">
        <v>11</v>
      </c>
      <c r="Y1544" s="43"/>
      <c r="Z1544" s="499"/>
      <c r="AA1544" s="538"/>
      <c r="AB1544" s="43"/>
      <c r="AC1544" s="41"/>
      <c r="AD1544" s="41"/>
      <c r="AE1544" s="41"/>
      <c r="AF1544" s="41"/>
      <c r="AG1544" s="41"/>
      <c r="AH1544" s="41"/>
      <c r="AI1544" s="41"/>
      <c r="AJ1544" s="41"/>
      <c r="AK1544" s="41"/>
      <c r="AL1544" s="41"/>
      <c r="AM1544" s="41"/>
      <c r="AN1544" s="41"/>
      <c r="AO1544" s="41"/>
      <c r="AP1544" s="41"/>
      <c r="AQ1544" s="41"/>
      <c r="AR1544" s="41"/>
      <c r="AS1544" s="41"/>
      <c r="AT1544" s="41"/>
    </row>
    <row r="1545" spans="1:46" s="2" customFormat="1" x14ac:dyDescent="0.25">
      <c r="A1545" s="119"/>
      <c r="B1545" s="119"/>
      <c r="C1545" s="308"/>
      <c r="D1545" s="49"/>
      <c r="E1545" s="49"/>
      <c r="F1545" s="49"/>
      <c r="G1545" s="128" t="s">
        <v>319</v>
      </c>
      <c r="H1545" s="128"/>
      <c r="I1545" s="128"/>
      <c r="J1545" s="48"/>
      <c r="K1545" s="161"/>
      <c r="L1545" s="48"/>
      <c r="M1545" s="48"/>
      <c r="N1545" s="48"/>
      <c r="O1545" s="48"/>
      <c r="P1545" s="162"/>
      <c r="Q1545" s="162"/>
      <c r="R1545" s="162"/>
      <c r="S1545" s="162"/>
      <c r="T1545" s="162"/>
      <c r="U1545" s="48"/>
      <c r="V1545" s="48"/>
      <c r="W1545" s="48"/>
      <c r="X1545" s="48"/>
      <c r="Y1545" s="48"/>
      <c r="Z1545" s="48"/>
      <c r="AA1545" s="48"/>
      <c r="AB1545" s="48"/>
      <c r="AC1545" s="48"/>
      <c r="AD1545" s="48"/>
      <c r="AE1545" s="48"/>
      <c r="AF1545" s="48"/>
      <c r="AG1545" s="48"/>
      <c r="AH1545" s="48"/>
      <c r="AI1545" s="48"/>
      <c r="AJ1545" s="48"/>
      <c r="AK1545" s="48"/>
      <c r="AL1545" s="48"/>
      <c r="AM1545" s="48"/>
      <c r="AN1545" s="48"/>
      <c r="AO1545" s="48"/>
      <c r="AP1545" s="48"/>
      <c r="AQ1545" s="48"/>
      <c r="AR1545" s="48"/>
      <c r="AS1545" s="48"/>
      <c r="AT1545" s="48"/>
    </row>
    <row r="1546" spans="1:46" s="2" customFormat="1" x14ac:dyDescent="0.25">
      <c r="A1546" s="26" t="s">
        <v>103</v>
      </c>
      <c r="B1546" s="26"/>
      <c r="C1546" s="306"/>
      <c r="D1546" s="58" t="s">
        <v>24</v>
      </c>
      <c r="E1546" s="59">
        <v>39185</v>
      </c>
      <c r="F1546" s="441" t="s">
        <v>683</v>
      </c>
      <c r="G1546" s="60" t="s">
        <v>726</v>
      </c>
      <c r="H1546" s="60">
        <v>70771519</v>
      </c>
      <c r="I1546" s="60">
        <v>591100</v>
      </c>
      <c r="J1546" s="2" t="s">
        <v>1</v>
      </c>
      <c r="K1546" s="27">
        <v>67269.58</v>
      </c>
      <c r="L1546" s="4">
        <v>4917.91</v>
      </c>
      <c r="M1546" s="4">
        <v>5038.38</v>
      </c>
      <c r="N1546" s="4">
        <v>5164</v>
      </c>
      <c r="O1546" s="4">
        <v>3331.59</v>
      </c>
      <c r="P1546" s="283">
        <v>3246.44</v>
      </c>
      <c r="Q1546" s="283">
        <v>3161.3</v>
      </c>
      <c r="R1546" s="283">
        <v>8005.66</v>
      </c>
      <c r="S1546" s="283">
        <v>7815</v>
      </c>
      <c r="T1546" s="283">
        <v>7700.65</v>
      </c>
      <c r="U1546" s="2" t="s">
        <v>11</v>
      </c>
      <c r="Z1546" s="490"/>
      <c r="AA1546" s="60"/>
    </row>
    <row r="1547" spans="1:46" s="2" customFormat="1" x14ac:dyDescent="0.25">
      <c r="A1547" s="400" t="s">
        <v>1086</v>
      </c>
      <c r="B1547" s="26"/>
      <c r="C1547" s="306"/>
      <c r="D1547" s="58"/>
      <c r="E1547" s="59" t="s">
        <v>13</v>
      </c>
      <c r="F1547" s="59"/>
      <c r="G1547" s="60" t="s">
        <v>688</v>
      </c>
      <c r="H1547" s="60">
        <v>70771519</v>
      </c>
      <c r="I1547" s="60">
        <v>595100</v>
      </c>
      <c r="J1547" s="2" t="s">
        <v>2</v>
      </c>
      <c r="K1547" s="27">
        <v>7957.5</v>
      </c>
      <c r="L1547" s="4">
        <v>763.02</v>
      </c>
      <c r="M1547" s="4">
        <v>652.64</v>
      </c>
      <c r="N1547" s="4">
        <v>538.23</v>
      </c>
      <c r="O1547" s="4">
        <v>453.09</v>
      </c>
      <c r="P1547" s="366">
        <v>367.94</v>
      </c>
      <c r="Q1547" s="366">
        <v>289.04000000000002</v>
      </c>
      <c r="R1547" s="366">
        <v>138.19</v>
      </c>
      <c r="S1547" s="366">
        <v>0</v>
      </c>
      <c r="T1547" s="366">
        <v>0</v>
      </c>
      <c r="U1547" s="2" t="s">
        <v>11</v>
      </c>
      <c r="Z1547" s="490"/>
      <c r="AA1547" s="60"/>
    </row>
    <row r="1548" spans="1:46" s="2" customFormat="1" x14ac:dyDescent="0.25">
      <c r="A1548" s="26"/>
      <c r="B1548" s="26"/>
      <c r="C1548" s="306"/>
      <c r="D1548" s="58"/>
      <c r="E1548" s="59"/>
      <c r="F1548" s="59" t="s">
        <v>410</v>
      </c>
      <c r="G1548" s="60" t="s">
        <v>318</v>
      </c>
      <c r="H1548" s="60">
        <v>70771519</v>
      </c>
      <c r="I1548" s="60">
        <v>595101</v>
      </c>
      <c r="J1548" s="17" t="s">
        <v>386</v>
      </c>
      <c r="K1548" s="28">
        <v>1415.63</v>
      </c>
      <c r="L1548" s="11">
        <v>91.99</v>
      </c>
      <c r="M1548" s="11">
        <v>82.44</v>
      </c>
      <c r="N1548" s="300">
        <f>36.41+33.75</f>
        <v>70.16</v>
      </c>
      <c r="O1548" s="11">
        <f>33.75+30</f>
        <v>63.75</v>
      </c>
      <c r="P1548" s="142">
        <f>30+26.25</f>
        <v>56.25</v>
      </c>
      <c r="Q1548" s="142">
        <f>26.25+22.5</f>
        <v>48.75</v>
      </c>
      <c r="R1548" s="142">
        <f>22.5+15</f>
        <v>37.5</v>
      </c>
      <c r="S1548" s="142">
        <f>15+7.5</f>
        <v>22.5</v>
      </c>
      <c r="T1548" s="142">
        <v>7.5</v>
      </c>
      <c r="U1548" s="368" t="s">
        <v>11</v>
      </c>
      <c r="V1548" s="17"/>
      <c r="W1548" s="17"/>
      <c r="X1548" s="17"/>
      <c r="Y1548" s="17"/>
      <c r="Z1548" s="491"/>
      <c r="AA1548" s="532"/>
      <c r="AB1548" s="17"/>
      <c r="AC1548" s="17"/>
      <c r="AD1548" s="17"/>
      <c r="AE1548" s="17"/>
      <c r="AF1548" s="17"/>
      <c r="AG1548" s="17"/>
      <c r="AH1548" s="17"/>
      <c r="AI1548" s="17"/>
      <c r="AJ1548" s="17"/>
      <c r="AK1548" s="17"/>
      <c r="AL1548" s="17"/>
      <c r="AM1548" s="17"/>
      <c r="AN1548" s="17"/>
      <c r="AO1548" s="17"/>
      <c r="AP1548" s="17"/>
      <c r="AQ1548" s="17"/>
      <c r="AR1548" s="17"/>
      <c r="AS1548" s="17"/>
      <c r="AT1548" s="17"/>
    </row>
    <row r="1549" spans="1:46" s="6" customFormat="1" ht="13.8" thickBot="1" x14ac:dyDescent="0.3">
      <c r="A1549" s="120"/>
      <c r="B1549" s="120"/>
      <c r="C1549" s="307"/>
      <c r="D1549" s="92"/>
      <c r="E1549" s="93"/>
      <c r="F1549" s="93"/>
      <c r="G1549" s="157"/>
      <c r="H1549" s="157"/>
      <c r="I1549" s="157"/>
      <c r="J1549" s="41" t="s">
        <v>5</v>
      </c>
      <c r="K1549" s="42">
        <f>K1548+K1547+K1546</f>
        <v>76642.710000000006</v>
      </c>
      <c r="L1549" s="43">
        <f>L1548+L1547+L1546</f>
        <v>5772.92</v>
      </c>
      <c r="M1549" s="43">
        <f>M1548+M1547+M1546</f>
        <v>5773.46</v>
      </c>
      <c r="N1549" s="43">
        <f t="shared" ref="N1549:T1549" si="1283">N1548+N1547+N1546</f>
        <v>5772.39</v>
      </c>
      <c r="O1549" s="43">
        <f t="shared" si="1283"/>
        <v>3848.4300000000003</v>
      </c>
      <c r="P1549" s="43">
        <f t="shared" si="1283"/>
        <v>3670.63</v>
      </c>
      <c r="Q1549" s="43">
        <f t="shared" si="1283"/>
        <v>3499.09</v>
      </c>
      <c r="R1549" s="43">
        <f t="shared" si="1283"/>
        <v>8181.3499999999995</v>
      </c>
      <c r="S1549" s="43">
        <f t="shared" si="1283"/>
        <v>7837.5</v>
      </c>
      <c r="T1549" s="43">
        <f t="shared" si="1283"/>
        <v>7708.15</v>
      </c>
      <c r="U1549" s="41" t="s">
        <v>11</v>
      </c>
      <c r="V1549" s="43"/>
      <c r="W1549" s="43"/>
      <c r="X1549" s="43"/>
      <c r="Y1549" s="43"/>
      <c r="Z1549" s="499"/>
      <c r="AA1549" s="538"/>
      <c r="AB1549" s="43"/>
      <c r="AC1549" s="41"/>
      <c r="AD1549" s="41"/>
      <c r="AE1549" s="41"/>
      <c r="AF1549" s="41"/>
      <c r="AG1549" s="41"/>
      <c r="AH1549" s="41"/>
      <c r="AI1549" s="41"/>
      <c r="AJ1549" s="41"/>
      <c r="AK1549" s="41"/>
      <c r="AL1549" s="41"/>
      <c r="AM1549" s="41"/>
      <c r="AN1549" s="41"/>
      <c r="AO1549" s="41"/>
      <c r="AP1549" s="41"/>
      <c r="AQ1549" s="41"/>
      <c r="AR1549" s="41"/>
      <c r="AS1549" s="41"/>
      <c r="AT1549" s="41"/>
    </row>
    <row r="1550" spans="1:46" s="2" customFormat="1" x14ac:dyDescent="0.25">
      <c r="A1550" s="119"/>
      <c r="B1550" s="119"/>
      <c r="C1550" s="308"/>
      <c r="D1550" s="49"/>
      <c r="E1550" s="49"/>
      <c r="F1550" s="49"/>
      <c r="G1550" s="128" t="s">
        <v>325</v>
      </c>
      <c r="H1550" s="128"/>
      <c r="I1550" s="128"/>
      <c r="J1550" s="48"/>
      <c r="K1550" s="161"/>
      <c r="L1550" s="48"/>
      <c r="M1550" s="48"/>
      <c r="N1550" s="48"/>
      <c r="O1550" s="48"/>
      <c r="P1550" s="162"/>
      <c r="Q1550" s="162"/>
      <c r="R1550" s="162"/>
      <c r="S1550" s="162"/>
      <c r="T1550" s="162"/>
      <c r="U1550" s="48"/>
      <c r="V1550" s="48"/>
      <c r="W1550" s="48"/>
      <c r="X1550" s="48"/>
      <c r="Y1550" s="48"/>
      <c r="Z1550" s="48"/>
      <c r="AA1550" s="48"/>
      <c r="AB1550" s="48"/>
      <c r="AC1550" s="48"/>
      <c r="AD1550" s="48"/>
      <c r="AE1550" s="48"/>
      <c r="AF1550" s="48"/>
      <c r="AG1550" s="48"/>
      <c r="AH1550" s="48"/>
      <c r="AI1550" s="48"/>
      <c r="AJ1550" s="48"/>
      <c r="AK1550" s="48"/>
      <c r="AL1550" s="48"/>
      <c r="AM1550" s="48"/>
      <c r="AN1550" s="48"/>
      <c r="AO1550" s="48"/>
      <c r="AP1550" s="48"/>
      <c r="AQ1550" s="48"/>
      <c r="AR1550" s="48"/>
      <c r="AS1550" s="48"/>
      <c r="AT1550" s="48"/>
    </row>
    <row r="1551" spans="1:46" s="2" customFormat="1" x14ac:dyDescent="0.25">
      <c r="A1551" s="26" t="s">
        <v>0</v>
      </c>
      <c r="B1551" s="26"/>
      <c r="C1551" s="306"/>
      <c r="D1551" s="14" t="s">
        <v>0</v>
      </c>
      <c r="E1551" s="24">
        <v>39185</v>
      </c>
      <c r="F1551" s="442" t="s">
        <v>683</v>
      </c>
      <c r="G1551" s="315" t="s">
        <v>738</v>
      </c>
      <c r="H1551" s="325">
        <v>60771519</v>
      </c>
      <c r="I1551" s="315">
        <v>591100</v>
      </c>
      <c r="J1551" s="2" t="s">
        <v>1</v>
      </c>
      <c r="K1551" s="27">
        <v>1044168.43</v>
      </c>
      <c r="L1551" s="4">
        <v>51568.42</v>
      </c>
      <c r="M1551" s="4">
        <v>53748.25</v>
      </c>
      <c r="N1551" s="4">
        <v>56019.44</v>
      </c>
      <c r="O1551" s="4">
        <v>58940.95</v>
      </c>
      <c r="P1551" s="283">
        <v>58940.95</v>
      </c>
      <c r="Q1551" s="283">
        <v>63852.7</v>
      </c>
      <c r="R1551" s="283">
        <v>63852.7</v>
      </c>
      <c r="S1551" s="283">
        <v>68764.44</v>
      </c>
      <c r="T1551" s="283">
        <v>73676.19</v>
      </c>
      <c r="U1551" s="283">
        <v>72659.25</v>
      </c>
      <c r="V1551" s="283">
        <v>76295.070000000007</v>
      </c>
      <c r="W1551" s="283">
        <v>74304.7</v>
      </c>
      <c r="X1551" s="283">
        <v>77616.86</v>
      </c>
      <c r="Y1551" s="2" t="s">
        <v>11</v>
      </c>
      <c r="Z1551" s="490"/>
      <c r="AA1551" s="60"/>
    </row>
    <row r="1552" spans="1:46" s="2" customFormat="1" x14ac:dyDescent="0.25">
      <c r="A1552" s="400"/>
      <c r="B1552" s="26"/>
      <c r="C1552" s="306"/>
      <c r="D1552" s="14"/>
      <c r="E1552" s="24" t="s">
        <v>12</v>
      </c>
      <c r="F1552" s="24"/>
      <c r="G1552" s="15" t="s">
        <v>689</v>
      </c>
      <c r="H1552" s="163">
        <v>60771519</v>
      </c>
      <c r="I1552" s="15">
        <v>595100</v>
      </c>
      <c r="J1552" s="2" t="s">
        <v>2</v>
      </c>
      <c r="K1552" s="27">
        <v>250526.05</v>
      </c>
      <c r="L1552" s="4">
        <v>23414.11</v>
      </c>
      <c r="M1552" s="4">
        <v>21252.97</v>
      </c>
      <c r="N1552" s="4">
        <f>8071.9+10928.59</f>
        <v>19000.489999999998</v>
      </c>
      <c r="O1552" s="4">
        <f>6922.36+9719.1</f>
        <v>16641.46</v>
      </c>
      <c r="P1552" s="366">
        <f>5712.87+8509.61</f>
        <v>14222.48</v>
      </c>
      <c r="Q1552" s="366">
        <f>4503.38+7279.15</f>
        <v>11782.529999999999</v>
      </c>
      <c r="R1552" s="366">
        <f>2798.44+6077.28</f>
        <v>8875.7199999999993</v>
      </c>
      <c r="S1552" s="366">
        <f>1206.85+4815.97</f>
        <v>6022.82</v>
      </c>
      <c r="T1552" s="366">
        <f>220.07+3499.45</f>
        <v>3719.52</v>
      </c>
      <c r="U1552" s="366">
        <v>2200.35</v>
      </c>
      <c r="V1552" s="366">
        <v>861.75</v>
      </c>
      <c r="W1552" s="366">
        <v>0</v>
      </c>
      <c r="X1552" s="366">
        <v>0</v>
      </c>
      <c r="Y1552" s="2" t="s">
        <v>11</v>
      </c>
      <c r="Z1552" s="490"/>
      <c r="AA1552" s="60"/>
    </row>
    <row r="1553" spans="1:46" s="2" customFormat="1" x14ac:dyDescent="0.25">
      <c r="A1553" s="400"/>
      <c r="B1553" s="26"/>
      <c r="C1553" s="306"/>
      <c r="D1553" s="14"/>
      <c r="E1553" s="24"/>
      <c r="F1553" s="24" t="s">
        <v>406</v>
      </c>
      <c r="G1553" s="15" t="s">
        <v>14</v>
      </c>
      <c r="H1553" s="163">
        <v>60771519</v>
      </c>
      <c r="I1553" s="15">
        <v>595101</v>
      </c>
      <c r="J1553" s="17" t="s">
        <v>386</v>
      </c>
      <c r="K1553" s="28">
        <v>17316.11</v>
      </c>
      <c r="L1553" s="11">
        <v>1256.9000000000001</v>
      </c>
      <c r="M1553" s="11">
        <v>1177.9100000000001</v>
      </c>
      <c r="N1553" s="300">
        <f>533.93+526.78</f>
        <v>1060.71</v>
      </c>
      <c r="O1553" s="11">
        <f>526.78+482.58</f>
        <v>1009.3599999999999</v>
      </c>
      <c r="P1553" s="142">
        <f>482.58+438.37</f>
        <v>920.95</v>
      </c>
      <c r="Q1553" s="142">
        <f>438.37+390.48</f>
        <v>828.85</v>
      </c>
      <c r="R1553" s="142">
        <f>390.48+342.59</f>
        <v>733.06999999999994</v>
      </c>
      <c r="S1553" s="142">
        <f>342.59+291.02</f>
        <v>633.6099999999999</v>
      </c>
      <c r="T1553" s="142">
        <f>291.02+235.76</f>
        <v>526.78</v>
      </c>
      <c r="U1553" s="142">
        <f>235.76+180.51</f>
        <v>416.27</v>
      </c>
      <c r="V1553" s="142">
        <f>180.51+121.57</f>
        <v>302.08</v>
      </c>
      <c r="W1553" s="142">
        <f>121.57+62.62</f>
        <v>184.19</v>
      </c>
      <c r="X1553" s="142">
        <v>62.62</v>
      </c>
      <c r="Y1553" s="368" t="s">
        <v>11</v>
      </c>
      <c r="Z1553" s="491"/>
      <c r="AA1553" s="532"/>
      <c r="AB1553" s="17"/>
      <c r="AC1553" s="17"/>
      <c r="AD1553" s="17"/>
      <c r="AE1553" s="17"/>
      <c r="AF1553" s="17"/>
      <c r="AG1553" s="17"/>
      <c r="AH1553" s="17"/>
      <c r="AI1553" s="17"/>
      <c r="AJ1553" s="17"/>
      <c r="AK1553" s="17"/>
      <c r="AL1553" s="17"/>
      <c r="AM1553" s="17"/>
      <c r="AN1553" s="17"/>
      <c r="AO1553" s="17"/>
      <c r="AP1553" s="17"/>
      <c r="AQ1553" s="17"/>
      <c r="AR1553" s="17"/>
      <c r="AS1553" s="17"/>
      <c r="AT1553" s="17"/>
    </row>
    <row r="1554" spans="1:46" s="6" customFormat="1" ht="13.8" thickBot="1" x14ac:dyDescent="0.3">
      <c r="A1554" s="327" t="s">
        <v>621</v>
      </c>
      <c r="B1554" s="328"/>
      <c r="C1554" s="329"/>
      <c r="D1554" s="87"/>
      <c r="E1554" s="88"/>
      <c r="F1554" s="88"/>
      <c r="G1554" s="126" t="s">
        <v>400</v>
      </c>
      <c r="H1554" s="126"/>
      <c r="I1554" s="126"/>
      <c r="J1554" s="41" t="s">
        <v>5</v>
      </c>
      <c r="K1554" s="42">
        <f>K1553+K1552+K1551</f>
        <v>1312010.5900000001</v>
      </c>
      <c r="L1554" s="43">
        <f>L1553+L1552+L1551</f>
        <v>76239.429999999993</v>
      </c>
      <c r="M1554" s="43">
        <f>M1553+M1552+M1551</f>
        <v>76179.13</v>
      </c>
      <c r="N1554" s="43">
        <f t="shared" ref="N1554:W1554" si="1284">N1553+N1552+N1551</f>
        <v>76080.639999999999</v>
      </c>
      <c r="O1554" s="43">
        <f t="shared" si="1284"/>
        <v>76591.76999999999</v>
      </c>
      <c r="P1554" s="43">
        <f t="shared" si="1284"/>
        <v>74084.38</v>
      </c>
      <c r="Q1554" s="43">
        <f t="shared" si="1284"/>
        <v>76464.08</v>
      </c>
      <c r="R1554" s="43">
        <f t="shared" si="1284"/>
        <v>73461.489999999991</v>
      </c>
      <c r="S1554" s="43">
        <f t="shared" si="1284"/>
        <v>75420.87</v>
      </c>
      <c r="T1554" s="43">
        <f t="shared" si="1284"/>
        <v>77922.490000000005</v>
      </c>
      <c r="U1554" s="43">
        <f t="shared" si="1284"/>
        <v>75275.87</v>
      </c>
      <c r="V1554" s="43">
        <f t="shared" si="1284"/>
        <v>77458.900000000009</v>
      </c>
      <c r="W1554" s="43">
        <f t="shared" si="1284"/>
        <v>74488.89</v>
      </c>
      <c r="X1554" s="43">
        <f t="shared" ref="X1554" si="1285">X1553+X1552+X1551</f>
        <v>77679.48</v>
      </c>
      <c r="Y1554" s="41" t="s">
        <v>11</v>
      </c>
      <c r="Z1554" s="499"/>
      <c r="AA1554" s="538"/>
      <c r="AB1554" s="43"/>
      <c r="AC1554" s="41"/>
      <c r="AD1554" s="41"/>
      <c r="AE1554" s="41"/>
      <c r="AF1554" s="41"/>
      <c r="AG1554" s="41"/>
      <c r="AH1554" s="41"/>
      <c r="AI1554" s="41"/>
      <c r="AJ1554" s="41"/>
      <c r="AK1554" s="41"/>
      <c r="AL1554" s="41"/>
      <c r="AM1554" s="41"/>
      <c r="AN1554" s="41"/>
      <c r="AO1554" s="41"/>
      <c r="AP1554" s="41"/>
      <c r="AQ1554" s="41"/>
      <c r="AR1554" s="41"/>
      <c r="AS1554" s="41"/>
      <c r="AT1554" s="41"/>
    </row>
    <row r="1555" spans="1:46" s="2" customFormat="1" x14ac:dyDescent="0.25">
      <c r="A1555" s="119"/>
      <c r="B1555" s="119"/>
      <c r="C1555" s="308"/>
      <c r="D1555" s="49"/>
      <c r="E1555" s="49"/>
      <c r="F1555" s="49"/>
      <c r="G1555" s="128" t="s">
        <v>326</v>
      </c>
      <c r="H1555" s="128"/>
      <c r="I1555" s="128"/>
      <c r="J1555" s="48"/>
      <c r="K1555" s="161"/>
      <c r="L1555" s="48"/>
      <c r="M1555" s="48"/>
      <c r="N1555" s="48"/>
      <c r="O1555" s="48"/>
      <c r="P1555" s="162"/>
      <c r="Q1555" s="162"/>
      <c r="R1555" s="162"/>
      <c r="S1555" s="162"/>
      <c r="T1555" s="162"/>
      <c r="U1555" s="48"/>
      <c r="V1555" s="48"/>
      <c r="W1555" s="48"/>
      <c r="X1555" s="48"/>
      <c r="Y1555" s="48"/>
      <c r="Z1555" s="48"/>
      <c r="AA1555" s="48"/>
      <c r="AB1555" s="48"/>
      <c r="AC1555" s="48"/>
      <c r="AD1555" s="48"/>
      <c r="AE1555" s="48"/>
      <c r="AF1555" s="48"/>
      <c r="AG1555" s="48"/>
      <c r="AH1555" s="48"/>
      <c r="AI1555" s="48"/>
      <c r="AJ1555" s="48"/>
      <c r="AK1555" s="48"/>
      <c r="AL1555" s="48"/>
      <c r="AM1555" s="48"/>
      <c r="AN1555" s="48"/>
      <c r="AO1555" s="48"/>
      <c r="AP1555" s="48"/>
      <c r="AQ1555" s="48"/>
      <c r="AR1555" s="48"/>
      <c r="AS1555" s="48"/>
      <c r="AT1555" s="48"/>
    </row>
    <row r="1556" spans="1:46" s="2" customFormat="1" x14ac:dyDescent="0.25">
      <c r="A1556" s="26" t="s">
        <v>0</v>
      </c>
      <c r="B1556" s="26"/>
      <c r="C1556" s="306"/>
      <c r="D1556" s="14" t="s">
        <v>0</v>
      </c>
      <c r="E1556" s="24">
        <v>39185</v>
      </c>
      <c r="F1556" s="339" t="s">
        <v>683</v>
      </c>
      <c r="G1556" s="315" t="s">
        <v>739</v>
      </c>
      <c r="H1556" s="325">
        <v>60772019</v>
      </c>
      <c r="I1556" s="315">
        <v>591100</v>
      </c>
      <c r="J1556" s="2" t="s">
        <v>1</v>
      </c>
      <c r="K1556" s="27">
        <v>71326.320000000007</v>
      </c>
      <c r="L1556" s="4">
        <v>2901.68</v>
      </c>
      <c r="M1556" s="4">
        <v>2987.75</v>
      </c>
      <c r="N1556" s="4">
        <v>3113.39</v>
      </c>
      <c r="O1556" s="4">
        <v>3247.94</v>
      </c>
      <c r="P1556" s="283">
        <v>4946.6099999999997</v>
      </c>
      <c r="Q1556" s="283">
        <v>4946.6099999999997</v>
      </c>
      <c r="R1556" s="283">
        <v>4946.6099999999997</v>
      </c>
      <c r="S1556" s="283">
        <v>4946.6099999999997</v>
      </c>
      <c r="T1556" s="283">
        <v>4946.6139999999996</v>
      </c>
      <c r="U1556" s="283">
        <v>4922.1400000000003</v>
      </c>
      <c r="V1556" s="283">
        <v>4837.4399999999996</v>
      </c>
      <c r="W1556" s="283">
        <v>4727.95</v>
      </c>
      <c r="X1556" s="283">
        <v>4615.1499999999996</v>
      </c>
      <c r="Y1556" s="283">
        <v>4532.3999999999996</v>
      </c>
      <c r="Z1556" s="490" t="s">
        <v>11</v>
      </c>
      <c r="AA1556" s="60"/>
    </row>
    <row r="1557" spans="1:46" s="2" customFormat="1" x14ac:dyDescent="0.25">
      <c r="A1557" s="400" t="s">
        <v>1087</v>
      </c>
      <c r="B1557" s="26"/>
      <c r="C1557" s="306"/>
      <c r="D1557" s="14"/>
      <c r="E1557" s="24" t="s">
        <v>12</v>
      </c>
      <c r="F1557" s="24"/>
      <c r="G1557" s="15" t="s">
        <v>694</v>
      </c>
      <c r="H1557" s="163">
        <v>60772019</v>
      </c>
      <c r="I1557" s="15">
        <v>595100</v>
      </c>
      <c r="J1557" s="2" t="s">
        <v>2</v>
      </c>
      <c r="K1557" s="27">
        <v>19216.310000000001</v>
      </c>
      <c r="L1557" s="4">
        <v>1683.82</v>
      </c>
      <c r="M1557" s="4">
        <v>1604.06</v>
      </c>
      <c r="N1557" s="4">
        <f>630.72+856.77</f>
        <v>1487.49</v>
      </c>
      <c r="O1557" s="4">
        <f>569.33+792.72</f>
        <v>1362.0500000000002</v>
      </c>
      <c r="P1557" s="366">
        <f>505.28+695.18</f>
        <v>1200.46</v>
      </c>
      <c r="Q1557" s="366">
        <f>331.52+603.42</f>
        <v>934.93999999999994</v>
      </c>
      <c r="R1557" s="366">
        <f>235.56+509.14</f>
        <v>744.7</v>
      </c>
      <c r="S1557" s="366">
        <f>144.55+418.41</f>
        <v>562.96</v>
      </c>
      <c r="T1557" s="366">
        <f>59.53+328.1</f>
        <v>387.63</v>
      </c>
      <c r="U1557" s="366">
        <v>238.47</v>
      </c>
      <c r="V1557" s="366">
        <v>150.04</v>
      </c>
      <c r="W1557" s="366">
        <v>74.180000000000007</v>
      </c>
      <c r="X1557" s="366">
        <v>0</v>
      </c>
      <c r="Y1557" s="366">
        <v>0</v>
      </c>
      <c r="Z1557" s="490" t="s">
        <v>11</v>
      </c>
      <c r="AA1557" s="60"/>
    </row>
    <row r="1558" spans="1:46" s="2" customFormat="1" x14ac:dyDescent="0.25">
      <c r="A1558" s="400" t="s">
        <v>1115</v>
      </c>
      <c r="B1558" s="26"/>
      <c r="C1558" s="306"/>
      <c r="D1558" s="14"/>
      <c r="E1558" s="24"/>
      <c r="F1558" s="24" t="s">
        <v>406</v>
      </c>
      <c r="G1558" s="15" t="s">
        <v>14</v>
      </c>
      <c r="H1558" s="163">
        <v>60772019</v>
      </c>
      <c r="I1558" s="15">
        <v>595101</v>
      </c>
      <c r="J1558" s="17" t="s">
        <v>386</v>
      </c>
      <c r="K1558" s="28">
        <v>1163.0999999999999</v>
      </c>
      <c r="L1558" s="11">
        <v>90.4</v>
      </c>
      <c r="M1558" s="11">
        <v>85.98</v>
      </c>
      <c r="N1558" s="300">
        <f>39.3+39.54</f>
        <v>78.84</v>
      </c>
      <c r="O1558" s="11">
        <f>39.54+37.1</f>
        <v>76.64</v>
      </c>
      <c r="P1558" s="142">
        <f>37.1+33.39</f>
        <v>70.490000000000009</v>
      </c>
      <c r="Q1558" s="142">
        <f>33.39+29.68</f>
        <v>63.07</v>
      </c>
      <c r="R1558" s="142">
        <f>29.68+25.97</f>
        <v>55.65</v>
      </c>
      <c r="S1558" s="142">
        <f>25.97+22.26</f>
        <v>48.230000000000004</v>
      </c>
      <c r="T1558" s="142">
        <f>22.26+18.55</f>
        <v>40.81</v>
      </c>
      <c r="U1558" s="142">
        <f>18.55+14.84</f>
        <v>33.39</v>
      </c>
      <c r="V1558" s="142">
        <f>14.84+11.13</f>
        <v>25.97</v>
      </c>
      <c r="W1558" s="142">
        <f>11.13+7.42</f>
        <v>18.55</v>
      </c>
      <c r="X1558" s="142">
        <f>7.42+3.71</f>
        <v>11.129999999999999</v>
      </c>
      <c r="Y1558" s="142">
        <v>3.71</v>
      </c>
      <c r="Z1558" s="515" t="s">
        <v>11</v>
      </c>
      <c r="AA1558" s="532"/>
      <c r="AB1558" s="17"/>
      <c r="AC1558" s="17"/>
      <c r="AD1558" s="17"/>
      <c r="AE1558" s="17"/>
      <c r="AF1558" s="17"/>
      <c r="AG1558" s="17"/>
      <c r="AH1558" s="17"/>
      <c r="AI1558" s="17"/>
      <c r="AJ1558" s="17"/>
      <c r="AK1558" s="17"/>
      <c r="AL1558" s="17"/>
      <c r="AM1558" s="17"/>
      <c r="AN1558" s="17"/>
      <c r="AO1558" s="17"/>
      <c r="AP1558" s="17"/>
      <c r="AQ1558" s="17"/>
      <c r="AR1558" s="17"/>
      <c r="AS1558" s="17"/>
      <c r="AT1558" s="17"/>
    </row>
    <row r="1559" spans="1:46" s="6" customFormat="1" ht="13.8" thickBot="1" x14ac:dyDescent="0.3">
      <c r="A1559" s="120"/>
      <c r="B1559" s="120"/>
      <c r="C1559" s="307"/>
      <c r="D1559" s="87"/>
      <c r="E1559" s="88"/>
      <c r="F1559" s="88"/>
      <c r="G1559" s="126"/>
      <c r="H1559" s="126"/>
      <c r="I1559" s="126"/>
      <c r="J1559" s="41" t="s">
        <v>5</v>
      </c>
      <c r="K1559" s="42">
        <f>K1558+K1557+K1556</f>
        <v>91705.73000000001</v>
      </c>
      <c r="L1559" s="43">
        <f>L1558+L1557+L1556</f>
        <v>4675.8999999999996</v>
      </c>
      <c r="M1559" s="43">
        <f>M1558+M1557+M1556</f>
        <v>4677.79</v>
      </c>
      <c r="N1559" s="43">
        <f t="shared" ref="N1559:X1559" si="1286">N1558+N1557+N1556</f>
        <v>4679.7199999999993</v>
      </c>
      <c r="O1559" s="43">
        <f t="shared" si="1286"/>
        <v>4686.63</v>
      </c>
      <c r="P1559" s="43">
        <f t="shared" si="1286"/>
        <v>6217.5599999999995</v>
      </c>
      <c r="Q1559" s="43">
        <f t="shared" si="1286"/>
        <v>5944.62</v>
      </c>
      <c r="R1559" s="43">
        <f t="shared" si="1286"/>
        <v>5746.96</v>
      </c>
      <c r="S1559" s="43">
        <f t="shared" si="1286"/>
        <v>5557.7999999999993</v>
      </c>
      <c r="T1559" s="43">
        <f t="shared" si="1286"/>
        <v>5375.0539999999992</v>
      </c>
      <c r="U1559" s="43">
        <f t="shared" si="1286"/>
        <v>5194</v>
      </c>
      <c r="V1559" s="43">
        <f t="shared" si="1286"/>
        <v>5013.45</v>
      </c>
      <c r="W1559" s="43">
        <f t="shared" si="1286"/>
        <v>4820.6799999999994</v>
      </c>
      <c r="X1559" s="43">
        <f t="shared" si="1286"/>
        <v>4626.28</v>
      </c>
      <c r="Y1559" s="43">
        <f t="shared" ref="Y1559" si="1287">Y1558+Y1557+Y1556</f>
        <v>4536.1099999999997</v>
      </c>
      <c r="Z1559" s="492" t="s">
        <v>11</v>
      </c>
      <c r="AA1559" s="538"/>
      <c r="AB1559" s="43"/>
      <c r="AC1559" s="41"/>
      <c r="AD1559" s="41"/>
      <c r="AE1559" s="41"/>
      <c r="AF1559" s="41"/>
      <c r="AG1559" s="41"/>
      <c r="AH1559" s="41"/>
      <c r="AI1559" s="41"/>
      <c r="AJ1559" s="41"/>
      <c r="AK1559" s="41"/>
      <c r="AL1559" s="41"/>
      <c r="AM1559" s="41"/>
      <c r="AN1559" s="41"/>
      <c r="AO1559" s="41"/>
      <c r="AP1559" s="41"/>
      <c r="AQ1559" s="41"/>
      <c r="AR1559" s="41"/>
      <c r="AS1559" s="41"/>
      <c r="AT1559" s="41"/>
    </row>
    <row r="1560" spans="1:46" s="2" customFormat="1" x14ac:dyDescent="0.25">
      <c r="A1560" s="119"/>
      <c r="B1560" s="119"/>
      <c r="C1560" s="308"/>
      <c r="D1560" s="49"/>
      <c r="E1560" s="49"/>
      <c r="F1560" s="49"/>
      <c r="G1560" s="128" t="s">
        <v>329</v>
      </c>
      <c r="H1560" s="128"/>
      <c r="I1560" s="128"/>
      <c r="J1560" s="48"/>
      <c r="K1560" s="161"/>
      <c r="L1560" s="48"/>
      <c r="M1560" s="48"/>
      <c r="N1560" s="48"/>
      <c r="O1560" s="48"/>
      <c r="P1560" s="162"/>
      <c r="Q1560" s="162"/>
      <c r="R1560" s="162"/>
      <c r="S1560" s="162"/>
      <c r="T1560" s="162"/>
      <c r="U1560" s="48"/>
      <c r="V1560" s="48"/>
      <c r="W1560" s="48"/>
      <c r="X1560" s="48"/>
      <c r="Y1560" s="48"/>
      <c r="Z1560" s="48"/>
      <c r="AA1560" s="48"/>
      <c r="AB1560" s="48"/>
      <c r="AC1560" s="48"/>
      <c r="AD1560" s="48"/>
      <c r="AE1560" s="48"/>
      <c r="AF1560" s="48"/>
      <c r="AG1560" s="48"/>
      <c r="AH1560" s="48"/>
      <c r="AI1560" s="48"/>
      <c r="AJ1560" s="48"/>
      <c r="AK1560" s="48"/>
      <c r="AL1560" s="48"/>
      <c r="AM1560" s="48"/>
      <c r="AN1560" s="48"/>
      <c r="AO1560" s="48"/>
      <c r="AP1560" s="48"/>
      <c r="AQ1560" s="48"/>
      <c r="AR1560" s="48"/>
      <c r="AS1560" s="48"/>
      <c r="AT1560" s="48"/>
    </row>
    <row r="1561" spans="1:46" s="2" customFormat="1" x14ac:dyDescent="0.25">
      <c r="A1561" s="26" t="s">
        <v>0</v>
      </c>
      <c r="B1561" s="26"/>
      <c r="C1561" s="306"/>
      <c r="D1561" s="14" t="s">
        <v>0</v>
      </c>
      <c r="E1561" s="24">
        <v>39185</v>
      </c>
      <c r="F1561" s="339" t="s">
        <v>683</v>
      </c>
      <c r="G1561" s="315" t="s">
        <v>727</v>
      </c>
      <c r="H1561" s="325">
        <v>60772019</v>
      </c>
      <c r="I1561" s="315">
        <v>591100</v>
      </c>
      <c r="J1561" s="2" t="s">
        <v>1</v>
      </c>
      <c r="K1561" s="27">
        <v>1148963.81</v>
      </c>
      <c r="L1561" s="4">
        <v>53737.43</v>
      </c>
      <c r="M1561" s="4">
        <v>55215.83</v>
      </c>
      <c r="N1561" s="4">
        <v>57372.480000000003</v>
      </c>
      <c r="O1561" s="4">
        <v>59685.43</v>
      </c>
      <c r="P1561" s="283">
        <v>63893.56</v>
      </c>
      <c r="Q1561" s="283">
        <v>63893.56</v>
      </c>
      <c r="R1561" s="283">
        <v>68808.45</v>
      </c>
      <c r="S1561" s="283">
        <v>68808.45</v>
      </c>
      <c r="T1561" s="283">
        <v>73723.33</v>
      </c>
      <c r="U1561" s="283">
        <v>73723.33</v>
      </c>
      <c r="V1561" s="283">
        <v>77802.77</v>
      </c>
      <c r="W1561" s="283">
        <v>76058.28</v>
      </c>
      <c r="X1561" s="283">
        <v>79046.38</v>
      </c>
      <c r="Y1561" s="283">
        <v>77650.039999999994</v>
      </c>
      <c r="Z1561" s="490" t="s">
        <v>11</v>
      </c>
      <c r="AA1561" s="60"/>
    </row>
    <row r="1562" spans="1:46" s="2" customFormat="1" x14ac:dyDescent="0.25">
      <c r="A1562" s="400" t="s">
        <v>1088</v>
      </c>
      <c r="B1562" s="26"/>
      <c r="C1562" s="306"/>
      <c r="D1562" s="14"/>
      <c r="E1562" s="24" t="s">
        <v>12</v>
      </c>
      <c r="F1562" s="24"/>
      <c r="G1562" s="15" t="s">
        <v>740</v>
      </c>
      <c r="H1562" s="163">
        <v>60772019</v>
      </c>
      <c r="I1562" s="15">
        <v>595100</v>
      </c>
      <c r="J1562" s="2" t="s">
        <v>2</v>
      </c>
      <c r="K1562" s="27">
        <v>305785.15000000002</v>
      </c>
      <c r="L1562" s="4">
        <v>26537.040000000001</v>
      </c>
      <c r="M1562" s="4">
        <v>25062.240000000002</v>
      </c>
      <c r="N1562" s="4">
        <f>10150.68+12760.53</f>
        <v>22911.21</v>
      </c>
      <c r="O1562" s="4">
        <f>9019.38+11583.63</f>
        <v>20603.009999999998</v>
      </c>
      <c r="P1562" s="366">
        <f>7842.48+10323.75</f>
        <v>18166.23</v>
      </c>
      <c r="Q1562" s="366">
        <f>5642.67+9140.44</f>
        <v>14783.11</v>
      </c>
      <c r="R1562" s="366">
        <f>4301.94+7825.76</f>
        <v>12127.7</v>
      </c>
      <c r="S1562" s="366">
        <f>3038.01+6554.25</f>
        <v>9592.26</v>
      </c>
      <c r="T1562" s="366">
        <f>1762.3+5202.18</f>
        <v>6964.4800000000005</v>
      </c>
      <c r="U1562" s="366">
        <f>512.22+3858.23</f>
        <v>4370.45</v>
      </c>
      <c r="V1562" s="366">
        <v>2448.9499999999998</v>
      </c>
      <c r="W1562" s="366">
        <v>1250.0899999999999</v>
      </c>
      <c r="X1562" s="366">
        <v>0</v>
      </c>
      <c r="Y1562" s="366">
        <v>0</v>
      </c>
      <c r="Z1562" s="490" t="s">
        <v>11</v>
      </c>
      <c r="AA1562" s="60"/>
    </row>
    <row r="1563" spans="1:46" s="2" customFormat="1" x14ac:dyDescent="0.25">
      <c r="A1563" s="400" t="s">
        <v>1115</v>
      </c>
      <c r="B1563" s="26"/>
      <c r="C1563" s="306"/>
      <c r="D1563" s="14"/>
      <c r="E1563" s="24"/>
      <c r="F1563" s="24" t="s">
        <v>406</v>
      </c>
      <c r="G1563" s="15" t="s">
        <v>14</v>
      </c>
      <c r="H1563" s="163">
        <v>60772019</v>
      </c>
      <c r="I1563" s="15">
        <v>595101</v>
      </c>
      <c r="J1563" s="17" t="s">
        <v>386</v>
      </c>
      <c r="K1563" s="28">
        <v>18209.150000000001</v>
      </c>
      <c r="L1563" s="11">
        <v>1404.56</v>
      </c>
      <c r="M1563" s="11">
        <v>1322.85</v>
      </c>
      <c r="N1563" s="300">
        <f>601.44+597.69</f>
        <v>1199.1300000000001</v>
      </c>
      <c r="O1563" s="11">
        <f>597.69+552.93</f>
        <v>1150.6199999999999</v>
      </c>
      <c r="P1563" s="142">
        <f>552.93+505</f>
        <v>1057.9299999999998</v>
      </c>
      <c r="Q1563" s="142">
        <f>505+457.08</f>
        <v>962.07999999999993</v>
      </c>
      <c r="R1563" s="142">
        <f>457.08+405.48</f>
        <v>862.56</v>
      </c>
      <c r="S1563" s="142">
        <f>405.48+353.87</f>
        <v>759.35</v>
      </c>
      <c r="T1563" s="142">
        <f>353.87+298.58</f>
        <v>652.45000000000005</v>
      </c>
      <c r="U1563" s="142">
        <f>298.58+243.29</f>
        <v>541.87</v>
      </c>
      <c r="V1563" s="142">
        <f>243.29+184.31</f>
        <v>427.6</v>
      </c>
      <c r="W1563" s="142">
        <f>184.31+125.33</f>
        <v>309.64</v>
      </c>
      <c r="X1563" s="142">
        <f>125.33+62.66</f>
        <v>187.99</v>
      </c>
      <c r="Y1563" s="142">
        <v>62.66</v>
      </c>
      <c r="Z1563" s="515" t="s">
        <v>11</v>
      </c>
      <c r="AA1563" s="532"/>
      <c r="AB1563" s="17"/>
      <c r="AC1563" s="17"/>
      <c r="AD1563" s="17"/>
      <c r="AE1563" s="17"/>
      <c r="AF1563" s="17"/>
      <c r="AG1563" s="17"/>
      <c r="AH1563" s="17"/>
      <c r="AI1563" s="17"/>
      <c r="AJ1563" s="17"/>
      <c r="AK1563" s="17"/>
      <c r="AL1563" s="17"/>
      <c r="AM1563" s="17"/>
      <c r="AN1563" s="17"/>
      <c r="AO1563" s="17"/>
      <c r="AP1563" s="17"/>
      <c r="AQ1563" s="17"/>
      <c r="AR1563" s="17"/>
      <c r="AS1563" s="17"/>
      <c r="AT1563" s="17"/>
    </row>
    <row r="1564" spans="1:46" s="6" customFormat="1" ht="13.8" thickBot="1" x14ac:dyDescent="0.3">
      <c r="A1564" s="120"/>
      <c r="B1564" s="120"/>
      <c r="C1564" s="307"/>
      <c r="D1564" s="87"/>
      <c r="E1564" s="88"/>
      <c r="F1564" s="88"/>
      <c r="G1564" s="126" t="s">
        <v>399</v>
      </c>
      <c r="H1564" s="126"/>
      <c r="I1564" s="126"/>
      <c r="J1564" s="41" t="s">
        <v>5</v>
      </c>
      <c r="K1564" s="42">
        <f>K1563+K1562+K1561</f>
        <v>1472958.11</v>
      </c>
      <c r="L1564" s="43">
        <f>L1563+L1562+L1561</f>
        <v>81679.03</v>
      </c>
      <c r="M1564" s="43">
        <f>M1563+M1562+M1561</f>
        <v>81600.92</v>
      </c>
      <c r="N1564" s="43">
        <f t="shared" ref="N1564:Y1564" si="1288">N1563+N1562+N1561</f>
        <v>81482.820000000007</v>
      </c>
      <c r="O1564" s="43">
        <f t="shared" si="1288"/>
        <v>81439.06</v>
      </c>
      <c r="P1564" s="43">
        <f t="shared" si="1288"/>
        <v>83117.72</v>
      </c>
      <c r="Q1564" s="43">
        <f t="shared" si="1288"/>
        <v>79638.75</v>
      </c>
      <c r="R1564" s="43">
        <f t="shared" si="1288"/>
        <v>81798.709999999992</v>
      </c>
      <c r="S1564" s="43">
        <f t="shared" si="1288"/>
        <v>79160.06</v>
      </c>
      <c r="T1564" s="43">
        <f t="shared" si="1288"/>
        <v>81340.260000000009</v>
      </c>
      <c r="U1564" s="43">
        <f t="shared" si="1288"/>
        <v>78635.649999999994</v>
      </c>
      <c r="V1564" s="43">
        <f t="shared" si="1288"/>
        <v>80679.320000000007</v>
      </c>
      <c r="W1564" s="43">
        <f t="shared" si="1288"/>
        <v>77618.009999999995</v>
      </c>
      <c r="X1564" s="43">
        <f t="shared" si="1288"/>
        <v>79234.37000000001</v>
      </c>
      <c r="Y1564" s="43">
        <f t="shared" si="1288"/>
        <v>77712.7</v>
      </c>
      <c r="Z1564" s="492" t="s">
        <v>11</v>
      </c>
      <c r="AA1564" s="538"/>
      <c r="AB1564" s="43"/>
      <c r="AC1564" s="41"/>
      <c r="AD1564" s="41"/>
      <c r="AE1564" s="41"/>
      <c r="AF1564" s="41"/>
      <c r="AG1564" s="41"/>
      <c r="AH1564" s="41"/>
      <c r="AI1564" s="41"/>
      <c r="AJ1564" s="41"/>
      <c r="AK1564" s="41"/>
      <c r="AL1564" s="41"/>
      <c r="AM1564" s="41"/>
      <c r="AN1564" s="41"/>
      <c r="AO1564" s="41"/>
      <c r="AP1564" s="41"/>
      <c r="AQ1564" s="41"/>
      <c r="AR1564" s="41"/>
      <c r="AS1564" s="41"/>
      <c r="AT1564" s="41"/>
    </row>
    <row r="1565" spans="1:46" s="2" customFormat="1" x14ac:dyDescent="0.25">
      <c r="A1565" s="119"/>
      <c r="B1565" s="119"/>
      <c r="C1565" s="308"/>
      <c r="D1565" s="49"/>
      <c r="E1565" s="49"/>
      <c r="F1565" s="49"/>
      <c r="G1565" s="128" t="s">
        <v>324</v>
      </c>
      <c r="H1565" s="128"/>
      <c r="I1565" s="128"/>
      <c r="J1565" s="48"/>
      <c r="K1565" s="161"/>
      <c r="L1565" s="48"/>
      <c r="M1565" s="48"/>
      <c r="N1565" s="48"/>
      <c r="O1565" s="48"/>
      <c r="P1565" s="162"/>
      <c r="Q1565" s="162"/>
      <c r="R1565" s="162"/>
      <c r="S1565" s="162"/>
      <c r="T1565" s="162"/>
      <c r="U1565" s="48"/>
      <c r="V1565" s="48"/>
      <c r="W1565" s="48"/>
      <c r="X1565" s="48"/>
      <c r="Y1565" s="48"/>
      <c r="Z1565" s="48"/>
      <c r="AA1565" s="48"/>
      <c r="AB1565" s="48"/>
      <c r="AC1565" s="48"/>
      <c r="AD1565" s="48"/>
      <c r="AE1565" s="48"/>
      <c r="AF1565" s="48"/>
      <c r="AG1565" s="48"/>
      <c r="AH1565" s="48"/>
      <c r="AI1565" s="48"/>
      <c r="AJ1565" s="48"/>
      <c r="AK1565" s="48"/>
      <c r="AL1565" s="48"/>
      <c r="AM1565" s="48"/>
      <c r="AN1565" s="48"/>
      <c r="AO1565" s="48"/>
      <c r="AP1565" s="48"/>
      <c r="AQ1565" s="48"/>
      <c r="AR1565" s="48"/>
      <c r="AS1565" s="48"/>
      <c r="AT1565" s="48"/>
    </row>
    <row r="1566" spans="1:46" s="2" customFormat="1" x14ac:dyDescent="0.25">
      <c r="A1566" s="26" t="s">
        <v>0</v>
      </c>
      <c r="B1566" s="26"/>
      <c r="C1566" s="306"/>
      <c r="D1566" s="14" t="s">
        <v>0</v>
      </c>
      <c r="E1566" s="24">
        <v>39384</v>
      </c>
      <c r="F1566" s="24"/>
      <c r="G1566" s="315" t="s">
        <v>728</v>
      </c>
      <c r="H1566" s="325">
        <v>60772119</v>
      </c>
      <c r="I1566" s="315">
        <v>591100</v>
      </c>
      <c r="J1566" s="2" t="s">
        <v>1</v>
      </c>
      <c r="K1566" s="27">
        <v>1785492.37</v>
      </c>
      <c r="L1566" s="4">
        <v>88384.19</v>
      </c>
      <c r="M1566" s="4">
        <v>90169.71</v>
      </c>
      <c r="N1566" s="4">
        <v>91991.46</v>
      </c>
      <c r="O1566" s="4">
        <v>93850.33</v>
      </c>
      <c r="P1566" s="283">
        <v>95746.31</v>
      </c>
      <c r="Q1566" s="283">
        <v>97680.25</v>
      </c>
      <c r="R1566" s="283">
        <v>99653.89</v>
      </c>
      <c r="S1566" s="283">
        <v>101666.37</v>
      </c>
      <c r="T1566" s="283">
        <v>103720.27</v>
      </c>
      <c r="U1566" s="283">
        <v>105816.46</v>
      </c>
      <c r="V1566" s="283">
        <v>107954.07</v>
      </c>
      <c r="W1566" s="283">
        <v>110134.83</v>
      </c>
      <c r="X1566" s="283">
        <v>112359.6</v>
      </c>
      <c r="Y1566" s="283">
        <v>114629.25</v>
      </c>
      <c r="Z1566" s="497">
        <v>116945.5</v>
      </c>
      <c r="AA1566" s="60" t="s">
        <v>11</v>
      </c>
    </row>
    <row r="1567" spans="1:46" s="2" customFormat="1" x14ac:dyDescent="0.25">
      <c r="A1567" s="400" t="s">
        <v>1089</v>
      </c>
      <c r="B1567" s="26"/>
      <c r="C1567" s="306"/>
      <c r="D1567" s="14"/>
      <c r="E1567" s="24" t="s">
        <v>12</v>
      </c>
      <c r="F1567" s="24"/>
      <c r="G1567" s="15" t="s">
        <v>690</v>
      </c>
      <c r="H1567" s="163">
        <v>60772119</v>
      </c>
      <c r="I1567" s="15">
        <v>595100</v>
      </c>
      <c r="J1567" s="2" t="s">
        <v>2</v>
      </c>
      <c r="K1567" s="27">
        <v>360222.02</v>
      </c>
      <c r="L1567" s="4">
        <v>29730.21</v>
      </c>
      <c r="M1567" s="4">
        <v>27944.67</v>
      </c>
      <c r="N1567" s="4">
        <f>13521.49+12601.57</f>
        <v>26123.059999999998</v>
      </c>
      <c r="O1567" s="4">
        <f>12601.57+11663.07</f>
        <v>24264.639999999999</v>
      </c>
      <c r="P1567" s="366">
        <f>11663.07+10705.61</f>
        <v>22368.68</v>
      </c>
      <c r="Q1567" s="366">
        <f>10705.61+9728.8</f>
        <v>20434.41</v>
      </c>
      <c r="R1567" s="366">
        <f>9728.8+8732.26</f>
        <v>18461.059999999998</v>
      </c>
      <c r="S1567" s="366">
        <f>8732.26+7715.6</f>
        <v>16447.86</v>
      </c>
      <c r="T1567" s="366">
        <f>7715.6+6678.4</f>
        <v>14394</v>
      </c>
      <c r="U1567" s="366">
        <f>6678.4+5620.23</f>
        <v>12298.63</v>
      </c>
      <c r="V1567" s="366">
        <f>5620.23+4540.69</f>
        <v>10160.919999999998</v>
      </c>
      <c r="W1567" s="366">
        <f>4540.69+3439.34</f>
        <v>7980.03</v>
      </c>
      <c r="X1567" s="366">
        <f>3439.34+2315.75</f>
        <v>5755.09</v>
      </c>
      <c r="Y1567" s="366">
        <f>2315.75+1169.45</f>
        <v>3485.2</v>
      </c>
      <c r="Z1567" s="516">
        <v>1169.45</v>
      </c>
      <c r="AA1567" s="60" t="s">
        <v>11</v>
      </c>
    </row>
    <row r="1568" spans="1:46" s="2" customFormat="1" x14ac:dyDescent="0.25">
      <c r="A1568" s="400" t="s">
        <v>1117</v>
      </c>
      <c r="B1568" s="26"/>
      <c r="C1568" s="306"/>
      <c r="D1568" s="14"/>
      <c r="E1568" s="24"/>
      <c r="F1568" s="24" t="s">
        <v>406</v>
      </c>
      <c r="G1568" s="15" t="s">
        <v>14</v>
      </c>
      <c r="H1568" s="163">
        <v>60772119</v>
      </c>
      <c r="I1568" s="15">
        <v>595101</v>
      </c>
      <c r="J1568" s="17" t="s">
        <v>386</v>
      </c>
      <c r="K1568" s="28">
        <v>27016.65</v>
      </c>
      <c r="L1568" s="11">
        <v>2229.77</v>
      </c>
      <c r="M1568" s="11">
        <v>2095.85</v>
      </c>
      <c r="N1568" s="300">
        <f>951.94+945.12</f>
        <v>1897.06</v>
      </c>
      <c r="O1568" s="11">
        <f>945.12+874.73</f>
        <v>1819.85</v>
      </c>
      <c r="P1568" s="142">
        <f>874.73+802.92</f>
        <v>1677.65</v>
      </c>
      <c r="Q1568" s="142">
        <f>802.92+729.66</f>
        <v>1532.58</v>
      </c>
      <c r="R1568" s="142">
        <f>729.66+654.92</f>
        <v>1384.58</v>
      </c>
      <c r="S1568" s="142">
        <f>654.92+578.67</f>
        <v>1233.5899999999999</v>
      </c>
      <c r="T1568" s="142">
        <f>578.67+500.88</f>
        <v>1079.55</v>
      </c>
      <c r="U1568" s="142">
        <f>500.88+421.52</f>
        <v>922.4</v>
      </c>
      <c r="V1568" s="142">
        <f>421.52+340.55</f>
        <v>762.06999999999994</v>
      </c>
      <c r="W1568" s="142">
        <f>340.55+257.95</f>
        <v>598.5</v>
      </c>
      <c r="X1568" s="142">
        <f>257.95+173.68</f>
        <v>431.63</v>
      </c>
      <c r="Y1568" s="142">
        <f>173.68+87.71</f>
        <v>261.39</v>
      </c>
      <c r="Z1568" s="500">
        <v>87.71</v>
      </c>
      <c r="AA1568" s="558" t="s">
        <v>11</v>
      </c>
      <c r="AB1568" s="17"/>
      <c r="AC1568" s="17"/>
      <c r="AD1568" s="17"/>
      <c r="AE1568" s="17"/>
      <c r="AF1568" s="17"/>
      <c r="AG1568" s="17"/>
      <c r="AH1568" s="17"/>
      <c r="AI1568" s="17"/>
      <c r="AJ1568" s="17"/>
      <c r="AK1568" s="17"/>
      <c r="AL1568" s="17"/>
      <c r="AM1568" s="17"/>
      <c r="AN1568" s="17"/>
      <c r="AO1568" s="17"/>
      <c r="AP1568" s="17"/>
      <c r="AQ1568" s="17"/>
      <c r="AR1568" s="17"/>
      <c r="AS1568" s="17"/>
      <c r="AT1568" s="17"/>
    </row>
    <row r="1569" spans="1:46" s="6" customFormat="1" ht="13.8" thickBot="1" x14ac:dyDescent="0.3">
      <c r="A1569" s="327" t="s">
        <v>621</v>
      </c>
      <c r="B1569" s="328"/>
      <c r="C1569" s="329"/>
      <c r="D1569" s="87"/>
      <c r="E1569" s="88"/>
      <c r="F1569" s="88"/>
      <c r="G1569" s="126" t="s">
        <v>291</v>
      </c>
      <c r="H1569" s="126"/>
      <c r="I1569" s="126"/>
      <c r="J1569" s="41" t="s">
        <v>5</v>
      </c>
      <c r="K1569" s="42">
        <f>K1568+K1567+K1566</f>
        <v>2172731.04</v>
      </c>
      <c r="L1569" s="43">
        <f>L1568+L1567+L1566</f>
        <v>120344.17</v>
      </c>
      <c r="M1569" s="43">
        <f>M1568+M1567+M1566</f>
        <v>120210.23000000001</v>
      </c>
      <c r="N1569" s="43">
        <f t="shared" ref="N1569:Y1569" si="1289">N1568+N1567+N1566</f>
        <v>120011.58</v>
      </c>
      <c r="O1569" s="43">
        <f t="shared" si="1289"/>
        <v>119934.82</v>
      </c>
      <c r="P1569" s="43">
        <f t="shared" si="1289"/>
        <v>119792.64</v>
      </c>
      <c r="Q1569" s="43">
        <f t="shared" si="1289"/>
        <v>119647.23999999999</v>
      </c>
      <c r="R1569" s="43">
        <f t="shared" si="1289"/>
        <v>119499.53</v>
      </c>
      <c r="S1569" s="43">
        <f t="shared" si="1289"/>
        <v>119347.81999999999</v>
      </c>
      <c r="T1569" s="43">
        <f t="shared" si="1289"/>
        <v>119193.82</v>
      </c>
      <c r="U1569" s="43">
        <f t="shared" si="1289"/>
        <v>119037.49</v>
      </c>
      <c r="V1569" s="43">
        <f t="shared" si="1289"/>
        <v>118877.06</v>
      </c>
      <c r="W1569" s="43">
        <f t="shared" si="1289"/>
        <v>118713.36</v>
      </c>
      <c r="X1569" s="43">
        <f t="shared" si="1289"/>
        <v>118546.32</v>
      </c>
      <c r="Y1569" s="43">
        <f t="shared" si="1289"/>
        <v>118375.84</v>
      </c>
      <c r="Z1569" s="499">
        <f t="shared" ref="Z1569" si="1290">Z1568+Z1567+Z1566</f>
        <v>118202.66</v>
      </c>
      <c r="AA1569" s="533" t="s">
        <v>11</v>
      </c>
      <c r="AB1569" s="43"/>
      <c r="AC1569" s="41"/>
      <c r="AD1569" s="41"/>
      <c r="AE1569" s="41"/>
      <c r="AF1569" s="41"/>
      <c r="AG1569" s="41"/>
      <c r="AH1569" s="41"/>
      <c r="AI1569" s="41"/>
      <c r="AJ1569" s="41"/>
      <c r="AK1569" s="41"/>
      <c r="AL1569" s="41"/>
      <c r="AM1569" s="41"/>
      <c r="AN1569" s="41"/>
      <c r="AO1569" s="41"/>
      <c r="AP1569" s="41"/>
      <c r="AQ1569" s="41"/>
      <c r="AR1569" s="41"/>
      <c r="AS1569" s="41"/>
      <c r="AT1569" s="41"/>
    </row>
    <row r="1570" spans="1:46" s="2" customFormat="1" x14ac:dyDescent="0.25">
      <c r="A1570" s="119"/>
      <c r="B1570" s="119"/>
      <c r="C1570" s="308"/>
      <c r="D1570" s="49"/>
      <c r="E1570" s="49"/>
      <c r="F1570" s="49"/>
      <c r="G1570" s="128" t="s">
        <v>328</v>
      </c>
      <c r="H1570" s="128"/>
      <c r="I1570" s="128"/>
      <c r="J1570" s="48"/>
      <c r="K1570" s="161"/>
      <c r="L1570" s="48"/>
      <c r="M1570" s="48"/>
      <c r="N1570" s="48"/>
      <c r="O1570" s="48"/>
      <c r="P1570" s="162"/>
      <c r="Q1570" s="162"/>
      <c r="R1570" s="162"/>
      <c r="S1570" s="162"/>
      <c r="T1570" s="162"/>
      <c r="U1570" s="48"/>
      <c r="V1570" s="48"/>
      <c r="W1570" s="48"/>
      <c r="X1570" s="48"/>
      <c r="Y1570" s="48"/>
      <c r="Z1570" s="48"/>
      <c r="AA1570" s="48"/>
      <c r="AB1570" s="48"/>
      <c r="AC1570" s="48"/>
      <c r="AD1570" s="48"/>
      <c r="AE1570" s="48"/>
      <c r="AF1570" s="48"/>
      <c r="AG1570" s="48"/>
      <c r="AH1570" s="48"/>
      <c r="AI1570" s="48"/>
      <c r="AJ1570" s="48"/>
      <c r="AK1570" s="48"/>
      <c r="AL1570" s="48"/>
      <c r="AM1570" s="48"/>
      <c r="AN1570" s="48"/>
      <c r="AO1570" s="48"/>
      <c r="AP1570" s="48"/>
      <c r="AQ1570" s="48"/>
      <c r="AR1570" s="48"/>
      <c r="AS1570" s="48"/>
      <c r="AT1570" s="48"/>
    </row>
    <row r="1571" spans="1:46" s="2" customFormat="1" x14ac:dyDescent="0.25">
      <c r="A1571" s="26" t="s">
        <v>0</v>
      </c>
      <c r="B1571" s="26"/>
      <c r="C1571" s="306"/>
      <c r="D1571" s="14" t="s">
        <v>0</v>
      </c>
      <c r="E1571" s="24">
        <v>39043</v>
      </c>
      <c r="F1571" s="24"/>
      <c r="G1571" s="315" t="s">
        <v>713</v>
      </c>
      <c r="H1571" s="325">
        <v>60772419</v>
      </c>
      <c r="I1571" s="315">
        <v>591100</v>
      </c>
      <c r="J1571" s="2" t="s">
        <v>1</v>
      </c>
      <c r="K1571" s="27">
        <v>910532</v>
      </c>
      <c r="L1571" s="4">
        <v>40583</v>
      </c>
      <c r="M1571" s="4">
        <v>41403</v>
      </c>
      <c r="N1571" s="4">
        <v>42240</v>
      </c>
      <c r="O1571" s="4">
        <v>43093</v>
      </c>
      <c r="P1571" s="283">
        <v>43963</v>
      </c>
      <c r="Q1571" s="283">
        <v>44852</v>
      </c>
      <c r="R1571" s="283">
        <v>45758</v>
      </c>
      <c r="S1571" s="283">
        <v>46682</v>
      </c>
      <c r="T1571" s="283">
        <v>47625</v>
      </c>
      <c r="U1571" s="283">
        <v>48587</v>
      </c>
      <c r="V1571" s="283">
        <v>49569</v>
      </c>
      <c r="W1571" s="283">
        <v>50570</v>
      </c>
      <c r="X1571" s="283">
        <v>51592</v>
      </c>
      <c r="Y1571" s="283">
        <v>52634</v>
      </c>
      <c r="Z1571" s="497">
        <v>53697</v>
      </c>
      <c r="AA1571" s="536">
        <v>54782</v>
      </c>
      <c r="AB1571" s="2" t="s">
        <v>11</v>
      </c>
    </row>
    <row r="1572" spans="1:46" s="2" customFormat="1" x14ac:dyDescent="0.25">
      <c r="A1572" s="400" t="s">
        <v>1090</v>
      </c>
      <c r="B1572" s="26"/>
      <c r="C1572" s="306"/>
      <c r="D1572" s="14"/>
      <c r="E1572" s="24" t="s">
        <v>12</v>
      </c>
      <c r="F1572" s="24"/>
      <c r="G1572" s="15" t="s">
        <v>691</v>
      </c>
      <c r="H1572" s="163">
        <v>60772419</v>
      </c>
      <c r="I1572" s="15">
        <v>595100</v>
      </c>
      <c r="J1572" s="2" t="s">
        <v>2</v>
      </c>
      <c r="K1572" s="27">
        <v>196068.2</v>
      </c>
      <c r="L1572" s="4">
        <v>14746.77</v>
      </c>
      <c r="M1572" s="4">
        <v>13926.91</v>
      </c>
      <c r="N1572" s="4">
        <f>6756.44+6334.04</f>
        <v>13090.48</v>
      </c>
      <c r="O1572" s="4">
        <f>6334.04+5903.11</f>
        <v>12237.15</v>
      </c>
      <c r="P1572" s="366">
        <f>5903.11+5463.48</f>
        <v>11366.59</v>
      </c>
      <c r="Q1572" s="366">
        <f>5463.48+5014.96</f>
        <v>10478.439999999999</v>
      </c>
      <c r="R1572" s="366">
        <f>5014.96+4557.38</f>
        <v>9572.34</v>
      </c>
      <c r="S1572" s="366">
        <f>4557.38+4090.56</f>
        <v>8647.94</v>
      </c>
      <c r="T1572" s="366">
        <f>4090.56+3614.31</f>
        <v>7704.87</v>
      </c>
      <c r="U1572" s="366">
        <f>3614.31+3128.44</f>
        <v>6742.75</v>
      </c>
      <c r="V1572" s="366">
        <f>3128.44+2632.75</f>
        <v>5761.1900000000005</v>
      </c>
      <c r="W1572" s="366">
        <f>2632.75+2127.05</f>
        <v>4759.8</v>
      </c>
      <c r="X1572" s="366">
        <f>2127.05+1611.13</f>
        <v>3738.1800000000003</v>
      </c>
      <c r="Y1572" s="366">
        <f>1611.13+1084.79</f>
        <v>2695.92</v>
      </c>
      <c r="Z1572" s="516">
        <f>1084.79+547.82</f>
        <v>1632.6100000000001</v>
      </c>
      <c r="AA1572" s="559">
        <v>547.82000000000005</v>
      </c>
      <c r="AB1572" s="2" t="s">
        <v>11</v>
      </c>
    </row>
    <row r="1573" spans="1:46" s="2" customFormat="1" x14ac:dyDescent="0.25">
      <c r="A1573" s="400" t="s">
        <v>1117</v>
      </c>
      <c r="B1573" s="26"/>
      <c r="C1573" s="306"/>
      <c r="D1573" s="14"/>
      <c r="E1573" s="24"/>
      <c r="F1573" s="24" t="s">
        <v>406</v>
      </c>
      <c r="G1573" s="15" t="s">
        <v>14</v>
      </c>
      <c r="H1573" s="163">
        <v>60772419</v>
      </c>
      <c r="I1573" s="15">
        <v>595101</v>
      </c>
      <c r="J1573" s="17" t="s">
        <v>386</v>
      </c>
      <c r="K1573" s="28">
        <v>14587.48</v>
      </c>
      <c r="L1573" s="11">
        <v>1106.01</v>
      </c>
      <c r="M1573" s="11">
        <v>1044.52</v>
      </c>
      <c r="N1573" s="300">
        <f>475.67+475.05</f>
        <v>950.72</v>
      </c>
      <c r="O1573" s="11">
        <f>475.05+442.73</f>
        <v>917.78</v>
      </c>
      <c r="P1573" s="142">
        <f>442.73+409.76</f>
        <v>852.49</v>
      </c>
      <c r="Q1573" s="142">
        <f>409.76+376.12</f>
        <v>785.88</v>
      </c>
      <c r="R1573" s="142">
        <f>376.12+341.8</f>
        <v>717.92000000000007</v>
      </c>
      <c r="S1573" s="142">
        <f>341.8+306.79</f>
        <v>648.59</v>
      </c>
      <c r="T1573" s="142">
        <f>306.79+271.07</f>
        <v>577.86</v>
      </c>
      <c r="U1573" s="142">
        <f>271.07+234.63</f>
        <v>505.7</v>
      </c>
      <c r="V1573" s="142">
        <f>234.63+197.46</f>
        <v>432.09000000000003</v>
      </c>
      <c r="W1573" s="142">
        <f>197.46+159.53</f>
        <v>356.99</v>
      </c>
      <c r="X1573" s="142">
        <f>159.53+120.83</f>
        <v>280.36</v>
      </c>
      <c r="Y1573" s="142">
        <f>120.83+81.36</f>
        <v>202.19</v>
      </c>
      <c r="Z1573" s="500">
        <f>81.36+41.09</f>
        <v>122.45</v>
      </c>
      <c r="AA1573" s="539">
        <v>41.09</v>
      </c>
      <c r="AB1573" s="136" t="s">
        <v>11</v>
      </c>
      <c r="AC1573" s="17"/>
      <c r="AD1573" s="17"/>
      <c r="AE1573" s="17"/>
      <c r="AF1573" s="17"/>
      <c r="AG1573" s="17"/>
      <c r="AH1573" s="17"/>
      <c r="AI1573" s="17"/>
      <c r="AJ1573" s="17"/>
      <c r="AK1573" s="17"/>
      <c r="AL1573" s="17"/>
      <c r="AM1573" s="17"/>
      <c r="AN1573" s="17"/>
      <c r="AO1573" s="17"/>
      <c r="AP1573" s="17"/>
      <c r="AQ1573" s="17"/>
      <c r="AR1573" s="17"/>
      <c r="AS1573" s="17"/>
      <c r="AT1573" s="17"/>
    </row>
    <row r="1574" spans="1:46" s="6" customFormat="1" ht="13.8" thickBot="1" x14ac:dyDescent="0.3">
      <c r="A1574" s="327" t="s">
        <v>621</v>
      </c>
      <c r="B1574" s="328"/>
      <c r="C1574" s="329"/>
      <c r="D1574" s="87"/>
      <c r="E1574" s="88"/>
      <c r="F1574" s="88"/>
      <c r="G1574" s="126" t="s">
        <v>293</v>
      </c>
      <c r="H1574" s="126"/>
      <c r="I1574" s="126"/>
      <c r="J1574" s="41" t="s">
        <v>5</v>
      </c>
      <c r="K1574" s="42">
        <f>K1573+K1572+K1571</f>
        <v>1121187.68</v>
      </c>
      <c r="L1574" s="43">
        <f>L1573+L1572+L1571</f>
        <v>56435.78</v>
      </c>
      <c r="M1574" s="43">
        <f>M1573+M1572+M1571</f>
        <v>56374.43</v>
      </c>
      <c r="N1574" s="43">
        <f t="shared" ref="N1574:Z1574" si="1291">N1573+N1572+N1571</f>
        <v>56281.2</v>
      </c>
      <c r="O1574" s="43">
        <f t="shared" si="1291"/>
        <v>56247.93</v>
      </c>
      <c r="P1574" s="43">
        <f t="shared" si="1291"/>
        <v>56182.080000000002</v>
      </c>
      <c r="Q1574" s="43">
        <f t="shared" si="1291"/>
        <v>56116.32</v>
      </c>
      <c r="R1574" s="43">
        <f t="shared" si="1291"/>
        <v>56048.26</v>
      </c>
      <c r="S1574" s="43">
        <f t="shared" si="1291"/>
        <v>55978.53</v>
      </c>
      <c r="T1574" s="43">
        <f t="shared" si="1291"/>
        <v>55907.729999999996</v>
      </c>
      <c r="U1574" s="43">
        <f t="shared" si="1291"/>
        <v>55835.45</v>
      </c>
      <c r="V1574" s="43">
        <f t="shared" si="1291"/>
        <v>55762.28</v>
      </c>
      <c r="W1574" s="43">
        <f t="shared" si="1291"/>
        <v>55686.79</v>
      </c>
      <c r="X1574" s="43">
        <f t="shared" si="1291"/>
        <v>55610.54</v>
      </c>
      <c r="Y1574" s="43">
        <f t="shared" si="1291"/>
        <v>55532.11</v>
      </c>
      <c r="Z1574" s="499">
        <f t="shared" si="1291"/>
        <v>55452.06</v>
      </c>
      <c r="AA1574" s="538">
        <f t="shared" ref="AA1574" si="1292">AA1573+AA1572+AA1571</f>
        <v>55370.91</v>
      </c>
      <c r="AB1574" s="41" t="s">
        <v>11</v>
      </c>
      <c r="AC1574" s="41"/>
      <c r="AD1574" s="41"/>
      <c r="AE1574" s="41"/>
      <c r="AF1574" s="41"/>
      <c r="AG1574" s="41"/>
      <c r="AH1574" s="41"/>
      <c r="AI1574" s="41"/>
      <c r="AJ1574" s="41"/>
      <c r="AK1574" s="41"/>
      <c r="AL1574" s="41"/>
      <c r="AM1574" s="41"/>
      <c r="AN1574" s="41"/>
      <c r="AO1574" s="41"/>
      <c r="AP1574" s="41"/>
      <c r="AQ1574" s="41"/>
      <c r="AR1574" s="41"/>
      <c r="AS1574" s="41"/>
      <c r="AT1574" s="41"/>
    </row>
    <row r="1575" spans="1:46" s="2" customFormat="1" x14ac:dyDescent="0.25">
      <c r="A1575" s="119"/>
      <c r="B1575" s="119"/>
      <c r="C1575" s="308"/>
      <c r="D1575" s="49"/>
      <c r="E1575" s="49"/>
      <c r="F1575" s="49"/>
      <c r="G1575" s="128" t="s">
        <v>327</v>
      </c>
      <c r="H1575" s="128"/>
      <c r="I1575" s="128"/>
      <c r="J1575" s="48"/>
      <c r="K1575" s="161"/>
      <c r="L1575" s="48"/>
      <c r="M1575" s="48"/>
      <c r="N1575" s="48"/>
      <c r="O1575" s="48"/>
      <c r="P1575" s="162"/>
      <c r="Q1575" s="162"/>
      <c r="R1575" s="162"/>
      <c r="S1575" s="162"/>
      <c r="T1575" s="162"/>
      <c r="U1575" s="48"/>
      <c r="V1575" s="48"/>
      <c r="W1575" s="48"/>
      <c r="X1575" s="48"/>
      <c r="Y1575" s="48"/>
      <c r="Z1575" s="48"/>
      <c r="AA1575" s="48"/>
      <c r="AB1575" s="48"/>
      <c r="AC1575" s="48"/>
      <c r="AD1575" s="48"/>
      <c r="AE1575" s="48"/>
      <c r="AF1575" s="48"/>
      <c r="AG1575" s="48"/>
      <c r="AH1575" s="48"/>
      <c r="AI1575" s="48"/>
      <c r="AJ1575" s="48"/>
      <c r="AK1575" s="48"/>
      <c r="AL1575" s="48"/>
      <c r="AM1575" s="48"/>
      <c r="AN1575" s="48"/>
      <c r="AO1575" s="48"/>
      <c r="AP1575" s="48"/>
      <c r="AQ1575" s="48"/>
      <c r="AR1575" s="48"/>
      <c r="AS1575" s="48"/>
      <c r="AT1575" s="48"/>
    </row>
    <row r="1576" spans="1:46" s="2" customFormat="1" x14ac:dyDescent="0.25">
      <c r="A1576" s="26" t="s">
        <v>0</v>
      </c>
      <c r="B1576" s="26"/>
      <c r="C1576" s="306"/>
      <c r="D1576" s="14" t="s">
        <v>0</v>
      </c>
      <c r="E1576" s="24">
        <v>39414</v>
      </c>
      <c r="F1576" s="24"/>
      <c r="G1576" s="315" t="s">
        <v>714</v>
      </c>
      <c r="H1576" s="325">
        <v>60772619</v>
      </c>
      <c r="I1576" s="315">
        <v>591100</v>
      </c>
      <c r="J1576" s="2" t="s">
        <v>1</v>
      </c>
      <c r="K1576" s="27">
        <v>883850</v>
      </c>
      <c r="L1576" s="4">
        <v>38605</v>
      </c>
      <c r="M1576" s="4">
        <v>39385</v>
      </c>
      <c r="N1576" s="4">
        <v>40181</v>
      </c>
      <c r="O1576" s="4">
        <v>40993</v>
      </c>
      <c r="P1576" s="283">
        <v>41821</v>
      </c>
      <c r="Q1576" s="283">
        <v>42666</v>
      </c>
      <c r="R1576" s="283">
        <v>43528</v>
      </c>
      <c r="S1576" s="283">
        <v>44407</v>
      </c>
      <c r="T1576" s="283">
        <v>45304</v>
      </c>
      <c r="U1576" s="283">
        <v>46219</v>
      </c>
      <c r="V1576" s="283">
        <v>47153</v>
      </c>
      <c r="W1576" s="283">
        <v>48106</v>
      </c>
      <c r="X1576" s="283">
        <v>49078</v>
      </c>
      <c r="Y1576" s="283">
        <v>50069</v>
      </c>
      <c r="Z1576" s="497">
        <v>51080</v>
      </c>
      <c r="AA1576" s="536">
        <v>52112</v>
      </c>
      <c r="AB1576" s="5">
        <v>53165</v>
      </c>
      <c r="AC1576" s="2" t="s">
        <v>11</v>
      </c>
    </row>
    <row r="1577" spans="1:46" s="2" customFormat="1" x14ac:dyDescent="0.25">
      <c r="A1577" s="400" t="s">
        <v>1091</v>
      </c>
      <c r="B1577" s="26"/>
      <c r="C1577" s="306"/>
      <c r="D1577" s="14"/>
      <c r="E1577" s="24" t="s">
        <v>12</v>
      </c>
      <c r="F1577" s="24"/>
      <c r="G1577" s="15" t="s">
        <v>312</v>
      </c>
      <c r="H1577" s="163">
        <v>60772619</v>
      </c>
      <c r="I1577" s="15">
        <v>595100</v>
      </c>
      <c r="J1577" s="2" t="s">
        <v>2</v>
      </c>
      <c r="K1577" s="27">
        <v>190086.66</v>
      </c>
      <c r="L1577" s="4">
        <v>15091.39</v>
      </c>
      <c r="M1577" s="4">
        <v>14311.49</v>
      </c>
      <c r="N1577" s="4">
        <f>6958.82+6557.01</f>
        <v>13515.83</v>
      </c>
      <c r="O1577" s="4">
        <f>6557.01+6147.08</f>
        <v>12704.09</v>
      </c>
      <c r="P1577" s="366">
        <f>6147.08+5728.87</f>
        <v>11875.95</v>
      </c>
      <c r="Q1577" s="366">
        <f>5728.87+5302.21</f>
        <v>11031.08</v>
      </c>
      <c r="R1577" s="366">
        <f>5302.21+4866.93</f>
        <v>10169.14</v>
      </c>
      <c r="S1577" s="366">
        <f>4866.93+4422.86</f>
        <v>9289.7900000000009</v>
      </c>
      <c r="T1577" s="366">
        <f>4422.86+3969.82</f>
        <v>8392.68</v>
      </c>
      <c r="U1577" s="366">
        <f>3969.82+3507.63</f>
        <v>7477.4500000000007</v>
      </c>
      <c r="V1577" s="366">
        <f>3507.63+3036.1</f>
        <v>6543.73</v>
      </c>
      <c r="W1577" s="366">
        <f>3036.1+2555.04</f>
        <v>5591.1399999999994</v>
      </c>
      <c r="X1577" s="366">
        <f>2555.04+2064.26</f>
        <v>4619.3</v>
      </c>
      <c r="Y1577" s="366">
        <f>2064.26+1563.57</f>
        <v>3627.83</v>
      </c>
      <c r="Z1577" s="516">
        <f>1563.57+1052.77</f>
        <v>2616.34</v>
      </c>
      <c r="AA1577" s="559">
        <f>1052.77+531.65</f>
        <v>1584.42</v>
      </c>
      <c r="AB1577" s="160">
        <v>531.65</v>
      </c>
      <c r="AC1577" s="2" t="s">
        <v>11</v>
      </c>
    </row>
    <row r="1578" spans="1:46" s="2" customFormat="1" x14ac:dyDescent="0.25">
      <c r="A1578" s="400" t="s">
        <v>1117</v>
      </c>
      <c r="B1578" s="26"/>
      <c r="C1578" s="306"/>
      <c r="D1578" s="14"/>
      <c r="E1578" s="24"/>
      <c r="F1578" s="24" t="s">
        <v>406</v>
      </c>
      <c r="G1578" s="15" t="s">
        <v>14</v>
      </c>
      <c r="H1578" s="163">
        <v>60772619</v>
      </c>
      <c r="I1578" s="15">
        <v>595101</v>
      </c>
      <c r="J1578" s="17" t="s">
        <v>386</v>
      </c>
      <c r="K1578" s="28">
        <v>14157.07</v>
      </c>
      <c r="L1578" s="11">
        <v>1131.8499999999999</v>
      </c>
      <c r="M1578" s="11">
        <v>1073.3599999999999</v>
      </c>
      <c r="N1578" s="300">
        <f>489.92+491.78</f>
        <v>981.7</v>
      </c>
      <c r="O1578" s="11">
        <f>491.78+461.03</f>
        <v>952.81</v>
      </c>
      <c r="P1578" s="142">
        <f>461.03+429.67</f>
        <v>890.7</v>
      </c>
      <c r="Q1578" s="142">
        <f>429.67+397.67</f>
        <v>827.34</v>
      </c>
      <c r="R1578" s="142">
        <f>397.67+365.02</f>
        <v>762.69</v>
      </c>
      <c r="S1578" s="142">
        <f>365.02+331.71</f>
        <v>696.73</v>
      </c>
      <c r="T1578" s="142">
        <f>331.71+297.74</f>
        <v>629.45000000000005</v>
      </c>
      <c r="U1578" s="142">
        <f>297.74+263.07</f>
        <v>560.80999999999995</v>
      </c>
      <c r="V1578" s="142">
        <f>263.07+227.71</f>
        <v>490.78</v>
      </c>
      <c r="W1578" s="142">
        <f>227.71+191.63</f>
        <v>419.34000000000003</v>
      </c>
      <c r="X1578" s="142">
        <f>191.63+154.82</f>
        <v>346.45</v>
      </c>
      <c r="Y1578" s="142">
        <f>154.82+117.27</f>
        <v>272.08999999999997</v>
      </c>
      <c r="Z1578" s="500">
        <f>117.27+78.96</f>
        <v>196.23</v>
      </c>
      <c r="AA1578" s="539">
        <f>78.96+39.87</f>
        <v>118.82999999999998</v>
      </c>
      <c r="AB1578" s="21">
        <v>39.869999999999997</v>
      </c>
      <c r="AC1578" s="136" t="s">
        <v>11</v>
      </c>
      <c r="AD1578" s="17"/>
      <c r="AE1578" s="17"/>
      <c r="AF1578" s="17"/>
      <c r="AG1578" s="17"/>
      <c r="AH1578" s="17"/>
      <c r="AI1578" s="17"/>
      <c r="AJ1578" s="17"/>
      <c r="AK1578" s="17"/>
      <c r="AL1578" s="17"/>
      <c r="AM1578" s="17"/>
      <c r="AN1578" s="17"/>
      <c r="AO1578" s="17"/>
      <c r="AP1578" s="17"/>
      <c r="AQ1578" s="17"/>
      <c r="AR1578" s="17"/>
      <c r="AS1578" s="17"/>
      <c r="AT1578" s="17"/>
    </row>
    <row r="1579" spans="1:46" s="6" customFormat="1" ht="13.8" thickBot="1" x14ac:dyDescent="0.3">
      <c r="A1579" s="327" t="s">
        <v>621</v>
      </c>
      <c r="B1579" s="328"/>
      <c r="C1579" s="329"/>
      <c r="D1579" s="87"/>
      <c r="E1579" s="88"/>
      <c r="F1579" s="88"/>
      <c r="G1579" s="126" t="s">
        <v>311</v>
      </c>
      <c r="H1579" s="126"/>
      <c r="I1579" s="126"/>
      <c r="J1579" s="41" t="s">
        <v>5</v>
      </c>
      <c r="K1579" s="42">
        <f>K1578+K1577+K1576</f>
        <v>1088093.73</v>
      </c>
      <c r="L1579" s="43">
        <f>L1578+L1577+L1576</f>
        <v>54828.24</v>
      </c>
      <c r="M1579" s="43">
        <f>M1578+M1577+M1576</f>
        <v>54769.85</v>
      </c>
      <c r="N1579" s="43">
        <f t="shared" ref="N1579:AA1579" si="1293">N1578+N1577+N1576</f>
        <v>54678.53</v>
      </c>
      <c r="O1579" s="43">
        <f t="shared" si="1293"/>
        <v>54649.9</v>
      </c>
      <c r="P1579" s="43">
        <f t="shared" si="1293"/>
        <v>54587.65</v>
      </c>
      <c r="Q1579" s="43">
        <f t="shared" si="1293"/>
        <v>54524.42</v>
      </c>
      <c r="R1579" s="43">
        <f t="shared" si="1293"/>
        <v>54459.83</v>
      </c>
      <c r="S1579" s="43">
        <f t="shared" si="1293"/>
        <v>54393.520000000004</v>
      </c>
      <c r="T1579" s="43">
        <f t="shared" si="1293"/>
        <v>54326.130000000005</v>
      </c>
      <c r="U1579" s="43">
        <f t="shared" si="1293"/>
        <v>54257.26</v>
      </c>
      <c r="V1579" s="43">
        <f t="shared" si="1293"/>
        <v>54187.51</v>
      </c>
      <c r="W1579" s="43">
        <f t="shared" si="1293"/>
        <v>54116.479999999996</v>
      </c>
      <c r="X1579" s="43">
        <f t="shared" si="1293"/>
        <v>54043.75</v>
      </c>
      <c r="Y1579" s="43">
        <f t="shared" si="1293"/>
        <v>53968.92</v>
      </c>
      <c r="Z1579" s="499">
        <f t="shared" si="1293"/>
        <v>53892.57</v>
      </c>
      <c r="AA1579" s="538">
        <f t="shared" si="1293"/>
        <v>53815.25</v>
      </c>
      <c r="AB1579" s="43">
        <f t="shared" ref="AB1579" si="1294">AB1578+AB1577+AB1576</f>
        <v>53736.52</v>
      </c>
      <c r="AC1579" s="41" t="s">
        <v>11</v>
      </c>
      <c r="AD1579" s="41"/>
      <c r="AE1579" s="41"/>
      <c r="AF1579" s="41"/>
      <c r="AG1579" s="41"/>
      <c r="AH1579" s="41"/>
      <c r="AI1579" s="41"/>
      <c r="AJ1579" s="41"/>
      <c r="AK1579" s="41"/>
      <c r="AL1579" s="41"/>
      <c r="AM1579" s="41"/>
      <c r="AN1579" s="41"/>
      <c r="AO1579" s="41"/>
      <c r="AP1579" s="41"/>
      <c r="AQ1579" s="41"/>
      <c r="AR1579" s="41"/>
      <c r="AS1579" s="41"/>
      <c r="AT1579" s="41"/>
    </row>
    <row r="1580" spans="1:46" s="2" customFormat="1" x14ac:dyDescent="0.25">
      <c r="A1580" s="119"/>
      <c r="B1580" s="119"/>
      <c r="C1580" s="308"/>
      <c r="D1580" s="49"/>
      <c r="E1580" s="49"/>
      <c r="F1580" s="49"/>
      <c r="G1580" s="128" t="s">
        <v>331</v>
      </c>
      <c r="H1580" s="128"/>
      <c r="I1580" s="128"/>
      <c r="J1580" s="48"/>
      <c r="K1580" s="161"/>
      <c r="L1580" s="48"/>
      <c r="M1580" s="48"/>
      <c r="N1580" s="48"/>
      <c r="O1580" s="48"/>
      <c r="P1580" s="162"/>
      <c r="Q1580" s="162"/>
      <c r="R1580" s="162"/>
      <c r="S1580" s="162"/>
      <c r="T1580" s="162"/>
      <c r="U1580" s="48"/>
      <c r="V1580" s="48"/>
      <c r="W1580" s="48"/>
      <c r="X1580" s="48"/>
      <c r="Y1580" s="48"/>
      <c r="Z1580" s="48"/>
      <c r="AA1580" s="48"/>
      <c r="AB1580" s="48"/>
      <c r="AC1580" s="48"/>
      <c r="AD1580" s="48"/>
      <c r="AE1580" s="48"/>
      <c r="AF1580" s="48"/>
      <c r="AG1580" s="48"/>
      <c r="AH1580" s="48"/>
      <c r="AI1580" s="48"/>
      <c r="AJ1580" s="48"/>
      <c r="AK1580" s="48"/>
      <c r="AL1580" s="48"/>
      <c r="AM1580" s="48"/>
      <c r="AN1580" s="48"/>
      <c r="AO1580" s="48"/>
      <c r="AP1580" s="48"/>
      <c r="AQ1580" s="48"/>
      <c r="AR1580" s="48"/>
      <c r="AS1580" s="48"/>
      <c r="AT1580" s="48"/>
    </row>
    <row r="1581" spans="1:46" s="2" customFormat="1" x14ac:dyDescent="0.25">
      <c r="A1581" s="26" t="s">
        <v>0</v>
      </c>
      <c r="B1581" s="26"/>
      <c r="C1581" s="306"/>
      <c r="D1581" s="14" t="s">
        <v>0</v>
      </c>
      <c r="E1581" s="24">
        <v>39884</v>
      </c>
      <c r="F1581" s="24"/>
      <c r="G1581" s="315" t="s">
        <v>729</v>
      </c>
      <c r="H1581" s="325">
        <v>60772719</v>
      </c>
      <c r="I1581" s="315">
        <v>591100</v>
      </c>
      <c r="J1581" s="2" t="s">
        <v>1</v>
      </c>
      <c r="K1581" s="27">
        <v>150000</v>
      </c>
      <c r="L1581" s="4">
        <v>7761</v>
      </c>
      <c r="M1581" s="4">
        <v>7918</v>
      </c>
      <c r="N1581" s="4">
        <v>8078</v>
      </c>
      <c r="O1581" s="4">
        <v>8241</v>
      </c>
      <c r="P1581" s="283">
        <v>8408</v>
      </c>
      <c r="Q1581" s="283">
        <v>8577</v>
      </c>
      <c r="R1581" s="283">
        <v>8751</v>
      </c>
      <c r="S1581" s="283">
        <v>8928</v>
      </c>
      <c r="T1581" s="283">
        <v>9108</v>
      </c>
      <c r="U1581" s="283">
        <v>9292</v>
      </c>
      <c r="V1581" s="283">
        <v>9480</v>
      </c>
      <c r="W1581" s="283">
        <v>9671</v>
      </c>
      <c r="X1581" s="283">
        <v>9867</v>
      </c>
      <c r="Y1581" s="283">
        <v>10066</v>
      </c>
      <c r="Z1581" s="497">
        <v>10269</v>
      </c>
      <c r="AA1581" s="60" t="s">
        <v>11</v>
      </c>
    </row>
    <row r="1582" spans="1:46" s="2" customFormat="1" x14ac:dyDescent="0.25">
      <c r="A1582" s="400" t="s">
        <v>1092</v>
      </c>
      <c r="B1582" s="26"/>
      <c r="C1582" s="306"/>
      <c r="D1582" s="14"/>
      <c r="E1582" s="24" t="s">
        <v>12</v>
      </c>
      <c r="F1582" s="24"/>
      <c r="G1582" s="15" t="s">
        <v>690</v>
      </c>
      <c r="H1582" s="163">
        <v>60772719</v>
      </c>
      <c r="I1582" s="15">
        <v>595100</v>
      </c>
      <c r="J1582" s="2" t="s">
        <v>2</v>
      </c>
      <c r="K1582" s="27">
        <v>26324.1</v>
      </c>
      <c r="L1582" s="4">
        <v>2610.69</v>
      </c>
      <c r="M1582" s="4">
        <v>2453.9</v>
      </c>
      <c r="N1582" s="4">
        <f>1187.36+1106.58</f>
        <v>2293.9399999999996</v>
      </c>
      <c r="O1582" s="4">
        <f>1106.58+1024.17</f>
        <v>2130.75</v>
      </c>
      <c r="P1582" s="366">
        <f>1024.17+940.09</f>
        <v>1964.2600000000002</v>
      </c>
      <c r="Q1582" s="366">
        <f>940.09+854.32</f>
        <v>1794.41</v>
      </c>
      <c r="R1582" s="366">
        <f>854.32+766.81</f>
        <v>1621.13</v>
      </c>
      <c r="S1582" s="366">
        <f>766.81+677.53</f>
        <v>1444.34</v>
      </c>
      <c r="T1582" s="366">
        <f>677.53+586.45</f>
        <v>1263.98</v>
      </c>
      <c r="U1582" s="366">
        <f>586.45+493.53</f>
        <v>1079.98</v>
      </c>
      <c r="V1582" s="366">
        <f>493.53+398.73</f>
        <v>892.26</v>
      </c>
      <c r="W1582" s="366">
        <f>398.73+302.02</f>
        <v>700.75</v>
      </c>
      <c r="X1582" s="366">
        <f>302.02+203.35</f>
        <v>505.37</v>
      </c>
      <c r="Y1582" s="366">
        <f>203.35+102.69</f>
        <v>306.03999999999996</v>
      </c>
      <c r="Z1582" s="516">
        <v>102.69</v>
      </c>
      <c r="AA1582" s="60" t="s">
        <v>11</v>
      </c>
    </row>
    <row r="1583" spans="1:46" s="2" customFormat="1" x14ac:dyDescent="0.25">
      <c r="A1583" s="400" t="s">
        <v>1117</v>
      </c>
      <c r="B1583" s="26"/>
      <c r="C1583" s="306"/>
      <c r="D1583" s="14"/>
      <c r="E1583" s="24"/>
      <c r="F1583" s="24" t="s">
        <v>406</v>
      </c>
      <c r="G1583" s="15" t="s">
        <v>14</v>
      </c>
      <c r="H1583" s="163">
        <v>60772719</v>
      </c>
      <c r="I1583" s="15">
        <v>595101</v>
      </c>
      <c r="J1583" s="17" t="s">
        <v>386</v>
      </c>
      <c r="K1583" s="28">
        <v>2013.62</v>
      </c>
      <c r="L1583" s="11">
        <v>195.8</v>
      </c>
      <c r="M1583" s="11">
        <v>184.04</v>
      </c>
      <c r="N1583" s="300">
        <f>83.59+82.99</f>
        <v>166.57999999999998</v>
      </c>
      <c r="O1583" s="11">
        <f>82.99+76.81</f>
        <v>159.80000000000001</v>
      </c>
      <c r="P1583" s="142">
        <f>76.81+70.51</f>
        <v>147.32</v>
      </c>
      <c r="Q1583" s="142">
        <f>70.51+64.07</f>
        <v>134.57999999999998</v>
      </c>
      <c r="R1583" s="142">
        <f>64.07+57.51</f>
        <v>121.57999999999998</v>
      </c>
      <c r="S1583" s="142">
        <f>57.51+50.81</f>
        <v>108.32</v>
      </c>
      <c r="T1583" s="142">
        <f>50.81+43.98</f>
        <v>94.789999999999992</v>
      </c>
      <c r="U1583" s="142">
        <f>43.98+37.01</f>
        <v>80.989999999999995</v>
      </c>
      <c r="V1583" s="142">
        <f>37.01+29.9</f>
        <v>66.91</v>
      </c>
      <c r="W1583" s="142">
        <f>29.9+22.65</f>
        <v>52.55</v>
      </c>
      <c r="X1583" s="142">
        <f>22.65+15.25</f>
        <v>37.9</v>
      </c>
      <c r="Y1583" s="142">
        <f>15.25+7.7</f>
        <v>22.95</v>
      </c>
      <c r="Z1583" s="500">
        <v>7.7</v>
      </c>
      <c r="AA1583" s="558" t="s">
        <v>11</v>
      </c>
      <c r="AB1583" s="17"/>
      <c r="AC1583" s="17"/>
      <c r="AD1583" s="17"/>
      <c r="AE1583" s="17"/>
      <c r="AF1583" s="17"/>
      <c r="AG1583" s="17"/>
      <c r="AH1583" s="17"/>
      <c r="AI1583" s="17"/>
      <c r="AJ1583" s="17"/>
      <c r="AK1583" s="17"/>
      <c r="AL1583" s="17"/>
      <c r="AM1583" s="17"/>
      <c r="AN1583" s="17"/>
      <c r="AO1583" s="17"/>
      <c r="AP1583" s="17"/>
      <c r="AQ1583" s="17"/>
      <c r="AR1583" s="17"/>
      <c r="AS1583" s="17"/>
      <c r="AT1583" s="17"/>
    </row>
    <row r="1584" spans="1:46" s="6" customFormat="1" ht="13.8" thickBot="1" x14ac:dyDescent="0.3">
      <c r="A1584" s="327" t="s">
        <v>621</v>
      </c>
      <c r="B1584" s="328"/>
      <c r="C1584" s="329"/>
      <c r="D1584" s="87"/>
      <c r="E1584" s="88"/>
      <c r="F1584" s="88"/>
      <c r="G1584" s="126"/>
      <c r="H1584" s="126"/>
      <c r="I1584" s="126"/>
      <c r="J1584" s="41" t="s">
        <v>5</v>
      </c>
      <c r="K1584" s="42">
        <f>K1583+K1582+K1581</f>
        <v>178337.72</v>
      </c>
      <c r="L1584" s="43">
        <f>L1583+L1582+L1581</f>
        <v>10567.49</v>
      </c>
      <c r="M1584" s="43">
        <f>M1583+M1582+M1581</f>
        <v>10555.94</v>
      </c>
      <c r="N1584" s="43">
        <f t="shared" ref="N1584:Z1584" si="1295">N1583+N1582+N1581</f>
        <v>10538.52</v>
      </c>
      <c r="O1584" s="43">
        <f t="shared" si="1295"/>
        <v>10531.55</v>
      </c>
      <c r="P1584" s="43">
        <f t="shared" si="1295"/>
        <v>10519.58</v>
      </c>
      <c r="Q1584" s="43">
        <f t="shared" si="1295"/>
        <v>10505.99</v>
      </c>
      <c r="R1584" s="43">
        <f t="shared" si="1295"/>
        <v>10493.71</v>
      </c>
      <c r="S1584" s="43">
        <f t="shared" si="1295"/>
        <v>10480.66</v>
      </c>
      <c r="T1584" s="43">
        <f t="shared" si="1295"/>
        <v>10466.77</v>
      </c>
      <c r="U1584" s="43">
        <f t="shared" si="1295"/>
        <v>10452.969999999999</v>
      </c>
      <c r="V1584" s="43">
        <f t="shared" si="1295"/>
        <v>10439.17</v>
      </c>
      <c r="W1584" s="43">
        <f t="shared" si="1295"/>
        <v>10424.299999999999</v>
      </c>
      <c r="X1584" s="43">
        <f t="shared" si="1295"/>
        <v>10410.27</v>
      </c>
      <c r="Y1584" s="43">
        <f t="shared" si="1295"/>
        <v>10394.99</v>
      </c>
      <c r="Z1584" s="499">
        <f t="shared" si="1295"/>
        <v>10379.39</v>
      </c>
      <c r="AA1584" s="533" t="s">
        <v>11</v>
      </c>
      <c r="AB1584" s="43"/>
      <c r="AC1584" s="41"/>
      <c r="AD1584" s="41"/>
      <c r="AE1584" s="41"/>
      <c r="AF1584" s="41"/>
      <c r="AG1584" s="41"/>
      <c r="AH1584" s="41"/>
      <c r="AI1584" s="41"/>
      <c r="AJ1584" s="41"/>
      <c r="AK1584" s="41"/>
      <c r="AL1584" s="41"/>
      <c r="AM1584" s="41"/>
      <c r="AN1584" s="41"/>
      <c r="AO1584" s="41"/>
      <c r="AP1584" s="41"/>
      <c r="AQ1584" s="41"/>
      <c r="AR1584" s="41"/>
      <c r="AS1584" s="41"/>
      <c r="AT1584" s="41"/>
    </row>
    <row r="1585" spans="1:46" s="2" customFormat="1" x14ac:dyDescent="0.25">
      <c r="A1585" s="119"/>
      <c r="B1585" s="119"/>
      <c r="C1585" s="308"/>
      <c r="D1585" s="49"/>
      <c r="E1585" s="49"/>
      <c r="F1585" s="49"/>
      <c r="G1585" s="128" t="s">
        <v>333</v>
      </c>
      <c r="H1585" s="128"/>
      <c r="I1585" s="128"/>
      <c r="J1585" s="48"/>
      <c r="K1585" s="161"/>
      <c r="L1585" s="48"/>
      <c r="M1585" s="48"/>
      <c r="N1585" s="48"/>
      <c r="O1585" s="48"/>
      <c r="P1585" s="162"/>
      <c r="Q1585" s="162"/>
      <c r="R1585" s="162"/>
      <c r="S1585" s="162"/>
      <c r="T1585" s="162"/>
      <c r="U1585" s="48"/>
      <c r="V1585" s="48"/>
      <c r="W1585" s="48"/>
      <c r="X1585" s="48"/>
      <c r="Y1585" s="48"/>
      <c r="Z1585" s="48"/>
      <c r="AA1585" s="48"/>
      <c r="AB1585" s="48"/>
      <c r="AC1585" s="48"/>
      <c r="AD1585" s="48"/>
      <c r="AE1585" s="48"/>
      <c r="AF1585" s="48"/>
      <c r="AG1585" s="48"/>
      <c r="AH1585" s="48"/>
      <c r="AI1585" s="48"/>
      <c r="AJ1585" s="48"/>
      <c r="AK1585" s="48"/>
      <c r="AL1585" s="48"/>
      <c r="AM1585" s="48"/>
      <c r="AN1585" s="48"/>
      <c r="AO1585" s="48"/>
      <c r="AP1585" s="48"/>
      <c r="AQ1585" s="48"/>
      <c r="AR1585" s="48"/>
      <c r="AS1585" s="48"/>
      <c r="AT1585" s="48"/>
    </row>
    <row r="1586" spans="1:46" s="2" customFormat="1" x14ac:dyDescent="0.25">
      <c r="A1586" s="26" t="s">
        <v>0</v>
      </c>
      <c r="B1586" s="26"/>
      <c r="C1586" s="306"/>
      <c r="D1586" s="14" t="s">
        <v>0</v>
      </c>
      <c r="E1586" s="24">
        <v>41073</v>
      </c>
      <c r="F1586" s="24"/>
      <c r="G1586" s="319" t="s">
        <v>741</v>
      </c>
      <c r="H1586" s="324">
        <v>60773019</v>
      </c>
      <c r="I1586" s="319">
        <v>591100</v>
      </c>
      <c r="J1586" s="2" t="s">
        <v>1</v>
      </c>
      <c r="K1586" s="27">
        <v>111724</v>
      </c>
      <c r="L1586" s="4">
        <v>5448</v>
      </c>
      <c r="M1586" s="4">
        <v>0</v>
      </c>
      <c r="N1586" s="4">
        <v>4888</v>
      </c>
      <c r="O1586" s="4">
        <v>4994</v>
      </c>
      <c r="P1586" s="4">
        <v>5102</v>
      </c>
      <c r="Q1586" s="283">
        <v>5213</v>
      </c>
      <c r="R1586" s="283">
        <v>5327</v>
      </c>
      <c r="S1586" s="283">
        <v>5442</v>
      </c>
      <c r="T1586" s="283">
        <v>5561</v>
      </c>
      <c r="U1586" s="283">
        <v>5681</v>
      </c>
      <c r="V1586" s="283">
        <v>5805</v>
      </c>
      <c r="W1586" s="283">
        <v>5931</v>
      </c>
      <c r="X1586" s="283">
        <v>6060</v>
      </c>
      <c r="Y1586" s="283">
        <v>6192</v>
      </c>
      <c r="Z1586" s="497">
        <v>6326</v>
      </c>
      <c r="AA1586" s="536">
        <v>6464</v>
      </c>
      <c r="AB1586" s="5">
        <v>6604</v>
      </c>
      <c r="AC1586" s="5">
        <v>6748</v>
      </c>
      <c r="AD1586" s="5">
        <v>6894</v>
      </c>
      <c r="AE1586" s="5">
        <v>7044</v>
      </c>
      <c r="AF1586" s="2" t="s">
        <v>11</v>
      </c>
    </row>
    <row r="1587" spans="1:46" s="2" customFormat="1" x14ac:dyDescent="0.25">
      <c r="A1587" s="400" t="s">
        <v>1093</v>
      </c>
      <c r="B1587" s="26"/>
      <c r="C1587" s="306"/>
      <c r="D1587" s="14"/>
      <c r="E1587" s="317" t="s">
        <v>13</v>
      </c>
      <c r="F1587" s="24"/>
      <c r="G1587" s="15" t="s">
        <v>695</v>
      </c>
      <c r="H1587" s="163">
        <v>60773019</v>
      </c>
      <c r="I1587" s="15">
        <v>595100</v>
      </c>
      <c r="J1587" s="2" t="s">
        <v>2</v>
      </c>
      <c r="K1587" s="27">
        <v>22855.07</v>
      </c>
      <c r="L1587" s="4">
        <v>1246.79</v>
      </c>
      <c r="M1587" s="4">
        <v>1251.7</v>
      </c>
      <c r="N1587" s="4">
        <f>1062.76+1013.88</f>
        <v>2076.64</v>
      </c>
      <c r="O1587" s="4">
        <f>1013.88+963.94</f>
        <v>1977.8200000000002</v>
      </c>
      <c r="P1587" s="366">
        <f>963.94+912.92</f>
        <v>1876.8600000000001</v>
      </c>
      <c r="Q1587" s="366">
        <f>912.92+860.79</f>
        <v>1773.71</v>
      </c>
      <c r="R1587" s="366">
        <f>860.79+807.52</f>
        <v>1668.31</v>
      </c>
      <c r="S1587" s="366">
        <f>807.52+753.1</f>
        <v>1560.62</v>
      </c>
      <c r="T1587" s="366">
        <f>753.1+697.49</f>
        <v>1450.5900000000001</v>
      </c>
      <c r="U1587" s="366">
        <f>697.49+640.68</f>
        <v>1338.17</v>
      </c>
      <c r="V1587" s="366">
        <f>640.68+582.63</f>
        <v>1223.31</v>
      </c>
      <c r="W1587" s="366">
        <f>582.63+523.32</f>
        <v>1105.95</v>
      </c>
      <c r="X1587" s="366">
        <f>523.32+462.72</f>
        <v>986.04000000000008</v>
      </c>
      <c r="Y1587" s="366">
        <f>462.72+400.8</f>
        <v>863.52</v>
      </c>
      <c r="Z1587" s="516">
        <f>400.8+337.54</f>
        <v>738.34</v>
      </c>
      <c r="AA1587" s="559">
        <f>337.54+272.9</f>
        <v>610.44000000000005</v>
      </c>
      <c r="AB1587" s="160">
        <f>272.9+206.86</f>
        <v>479.76</v>
      </c>
      <c r="AC1587" s="160">
        <f>206.86+139.38</f>
        <v>346.24</v>
      </c>
      <c r="AD1587" s="160">
        <f>139.38+70.44</f>
        <v>209.82</v>
      </c>
      <c r="AE1587" s="160">
        <v>70.44</v>
      </c>
      <c r="AF1587" s="2" t="s">
        <v>11</v>
      </c>
    </row>
    <row r="1588" spans="1:46" s="2" customFormat="1" x14ac:dyDescent="0.25">
      <c r="A1588" s="400" t="s">
        <v>1117</v>
      </c>
      <c r="B1588" s="26"/>
      <c r="C1588" s="306"/>
      <c r="D1588" s="14"/>
      <c r="E1588" s="24"/>
      <c r="F1588" s="24" t="s">
        <v>406</v>
      </c>
      <c r="G1588" s="15" t="s">
        <v>14</v>
      </c>
      <c r="H1588" s="163">
        <v>60773019</v>
      </c>
      <c r="I1588" s="15">
        <v>595101</v>
      </c>
      <c r="J1588" s="17" t="s">
        <v>386</v>
      </c>
      <c r="K1588" s="28">
        <v>1690.24</v>
      </c>
      <c r="L1588" s="11">
        <v>83.79</v>
      </c>
      <c r="M1588" s="11">
        <v>79.709999999999994</v>
      </c>
      <c r="N1588" s="300">
        <f>74.82+76.04</f>
        <v>150.86000000000001</v>
      </c>
      <c r="O1588" s="11">
        <f>76.04+72.3</f>
        <v>148.34</v>
      </c>
      <c r="P1588" s="142">
        <f>72.3+68.47</f>
        <v>140.76999999999998</v>
      </c>
      <c r="Q1588" s="142">
        <f>68.47+64.56</f>
        <v>133.03</v>
      </c>
      <c r="R1588" s="142">
        <f>64.56+60.56</f>
        <v>125.12</v>
      </c>
      <c r="S1588" s="142">
        <f>60.56+56.48</f>
        <v>117.03999999999999</v>
      </c>
      <c r="T1588" s="142">
        <f>56.48+52.31</f>
        <v>108.78999999999999</v>
      </c>
      <c r="U1588" s="142">
        <f>52.31+48.05</f>
        <v>100.36</v>
      </c>
      <c r="V1588" s="142">
        <f>48.05+43.7</f>
        <v>91.75</v>
      </c>
      <c r="W1588" s="142">
        <f>43.7+39.25</f>
        <v>82.95</v>
      </c>
      <c r="X1588" s="142">
        <f>39.25+34.7</f>
        <v>73.95</v>
      </c>
      <c r="Y1588" s="142">
        <f>34.7+30.06</f>
        <v>64.760000000000005</v>
      </c>
      <c r="Z1588" s="500">
        <f>30.06+25.32</f>
        <v>55.379999999999995</v>
      </c>
      <c r="AA1588" s="539">
        <f>25.32+20.47</f>
        <v>45.79</v>
      </c>
      <c r="AB1588" s="21">
        <f>20.47+15.51</f>
        <v>35.979999999999997</v>
      </c>
      <c r="AC1588" s="21">
        <f>15.51+10.45</f>
        <v>25.96</v>
      </c>
      <c r="AD1588" s="21">
        <f>10.45+5.28</f>
        <v>15.73</v>
      </c>
      <c r="AE1588" s="21">
        <v>5.28</v>
      </c>
      <c r="AF1588" s="136" t="s">
        <v>11</v>
      </c>
      <c r="AG1588" s="17"/>
      <c r="AH1588" s="17"/>
      <c r="AI1588" s="17"/>
      <c r="AJ1588" s="17"/>
      <c r="AK1588" s="17"/>
      <c r="AL1588" s="17"/>
      <c r="AM1588" s="17"/>
      <c r="AN1588" s="17"/>
      <c r="AO1588" s="17"/>
      <c r="AP1588" s="17"/>
      <c r="AQ1588" s="17"/>
      <c r="AR1588" s="17"/>
      <c r="AS1588" s="17"/>
      <c r="AT1588" s="17"/>
    </row>
    <row r="1589" spans="1:46" s="6" customFormat="1" ht="13.8" thickBot="1" x14ac:dyDescent="0.3">
      <c r="A1589" s="120"/>
      <c r="B1589" s="120"/>
      <c r="C1589" s="307"/>
      <c r="D1589" s="87"/>
      <c r="E1589" s="88"/>
      <c r="F1589" s="88"/>
      <c r="G1589" s="126" t="s">
        <v>335</v>
      </c>
      <c r="H1589" s="126"/>
      <c r="I1589" s="126"/>
      <c r="J1589" s="41" t="s">
        <v>5</v>
      </c>
      <c r="K1589" s="42">
        <f>K1588+K1587+K1586</f>
        <v>136269.31</v>
      </c>
      <c r="L1589" s="43">
        <f>L1588+L1587+L1586</f>
        <v>6778.58</v>
      </c>
      <c r="M1589" s="43">
        <f>M1588+M1587+M1586</f>
        <v>1331.41</v>
      </c>
      <c r="N1589" s="43">
        <f t="shared" ref="N1589" si="1296">N1588+N1587+N1586</f>
        <v>7115.5</v>
      </c>
      <c r="O1589" s="43">
        <f t="shared" ref="O1589" si="1297">O1588+O1587+O1586</f>
        <v>7120.16</v>
      </c>
      <c r="P1589" s="43">
        <f t="shared" ref="P1589" si="1298">P1588+P1587+P1586</f>
        <v>7119.63</v>
      </c>
      <c r="Q1589" s="43">
        <f t="shared" ref="Q1589" si="1299">Q1588+Q1587+Q1586</f>
        <v>7119.74</v>
      </c>
      <c r="R1589" s="43">
        <f t="shared" ref="R1589" si="1300">R1588+R1587+R1586</f>
        <v>7120.43</v>
      </c>
      <c r="S1589" s="43">
        <f t="shared" ref="S1589" si="1301">S1588+S1587+S1586</f>
        <v>7119.66</v>
      </c>
      <c r="T1589" s="43">
        <f t="shared" ref="T1589" si="1302">T1588+T1587+T1586</f>
        <v>7120.38</v>
      </c>
      <c r="U1589" s="43">
        <f t="shared" ref="U1589" si="1303">U1588+U1587+U1586</f>
        <v>7119.53</v>
      </c>
      <c r="V1589" s="43">
        <f t="shared" ref="V1589" si="1304">V1588+V1587+V1586</f>
        <v>7120.0599999999995</v>
      </c>
      <c r="W1589" s="43">
        <f t="shared" ref="W1589" si="1305">W1588+W1587+W1586</f>
        <v>7119.9</v>
      </c>
      <c r="X1589" s="43">
        <f t="shared" ref="X1589" si="1306">X1588+X1587+X1586</f>
        <v>7119.99</v>
      </c>
      <c r="Y1589" s="43">
        <f t="shared" ref="Y1589" si="1307">Y1588+Y1587+Y1586</f>
        <v>7120.28</v>
      </c>
      <c r="Z1589" s="499">
        <f t="shared" ref="Z1589" si="1308">Z1588+Z1587+Z1586</f>
        <v>7119.72</v>
      </c>
      <c r="AA1589" s="538">
        <f t="shared" ref="AA1589" si="1309">AA1588+AA1587+AA1586</f>
        <v>7120.23</v>
      </c>
      <c r="AB1589" s="43">
        <f t="shared" ref="AB1589" si="1310">AB1588+AB1587+AB1586</f>
        <v>7119.74</v>
      </c>
      <c r="AC1589" s="43">
        <f t="shared" ref="AC1589" si="1311">AC1588+AC1587+AC1586</f>
        <v>7120.2</v>
      </c>
      <c r="AD1589" s="43">
        <f>AD1588+AD1587+AD1586</f>
        <v>7119.55</v>
      </c>
      <c r="AE1589" s="43">
        <f t="shared" ref="AE1589" si="1312">AE1588+AE1587+AE1586</f>
        <v>7119.72</v>
      </c>
      <c r="AF1589" s="41" t="s">
        <v>11</v>
      </c>
      <c r="AG1589" s="41"/>
      <c r="AH1589" s="41"/>
      <c r="AI1589" s="41"/>
      <c r="AJ1589" s="41"/>
      <c r="AK1589" s="41"/>
      <c r="AL1589" s="41"/>
      <c r="AM1589" s="41"/>
      <c r="AN1589" s="41"/>
      <c r="AO1589" s="41"/>
      <c r="AP1589" s="41"/>
      <c r="AQ1589" s="41"/>
      <c r="AR1589" s="41"/>
      <c r="AS1589" s="41"/>
      <c r="AT1589" s="41"/>
    </row>
    <row r="1590" spans="1:46" s="2" customFormat="1" x14ac:dyDescent="0.25">
      <c r="A1590" s="119"/>
      <c r="B1590" s="119"/>
      <c r="C1590" s="308"/>
      <c r="D1590" s="49"/>
      <c r="E1590" s="49"/>
      <c r="F1590" s="49"/>
      <c r="G1590" s="128" t="s">
        <v>330</v>
      </c>
      <c r="H1590" s="128"/>
      <c r="I1590" s="128"/>
      <c r="J1590" s="48"/>
      <c r="K1590" s="161"/>
      <c r="L1590" s="48"/>
      <c r="M1590" s="48"/>
      <c r="N1590" s="48"/>
      <c r="O1590" s="48"/>
      <c r="P1590" s="162"/>
      <c r="Q1590" s="162"/>
      <c r="R1590" s="162"/>
      <c r="S1590" s="162"/>
      <c r="T1590" s="162"/>
      <c r="U1590" s="48"/>
      <c r="V1590" s="48"/>
      <c r="W1590" s="48"/>
      <c r="X1590" s="48"/>
      <c r="Y1590" s="48"/>
      <c r="Z1590" s="48"/>
      <c r="AA1590" s="48"/>
      <c r="AB1590" s="48"/>
      <c r="AC1590" s="48"/>
      <c r="AD1590" s="48"/>
      <c r="AE1590" s="48"/>
      <c r="AF1590" s="48"/>
      <c r="AG1590" s="48"/>
      <c r="AH1590" s="48"/>
      <c r="AI1590" s="48"/>
      <c r="AJ1590" s="48"/>
      <c r="AK1590" s="48"/>
      <c r="AL1590" s="48"/>
      <c r="AM1590" s="48"/>
      <c r="AN1590" s="48"/>
      <c r="AO1590" s="48"/>
      <c r="AP1590" s="48"/>
      <c r="AQ1590" s="48"/>
      <c r="AR1590" s="48"/>
      <c r="AS1590" s="48"/>
      <c r="AT1590" s="48"/>
    </row>
    <row r="1591" spans="1:46" s="2" customFormat="1" x14ac:dyDescent="0.25">
      <c r="A1591" s="26" t="s">
        <v>0</v>
      </c>
      <c r="B1591" s="26"/>
      <c r="C1591" s="306"/>
      <c r="D1591" s="14" t="s">
        <v>0</v>
      </c>
      <c r="E1591" s="24">
        <v>40351</v>
      </c>
      <c r="F1591" s="24"/>
      <c r="G1591" s="319" t="s">
        <v>730</v>
      </c>
      <c r="H1591" s="324">
        <v>60773319</v>
      </c>
      <c r="I1591" s="319">
        <v>591100</v>
      </c>
      <c r="J1591" s="2" t="s">
        <v>1</v>
      </c>
      <c r="K1591" s="27">
        <v>86968</v>
      </c>
      <c r="L1591" s="4">
        <v>5022</v>
      </c>
      <c r="M1591" s="4">
        <v>5123</v>
      </c>
      <c r="N1591" s="4">
        <v>5227</v>
      </c>
      <c r="O1591" s="4">
        <v>5332</v>
      </c>
      <c r="P1591" s="4">
        <v>5440</v>
      </c>
      <c r="Q1591" s="283">
        <v>5550</v>
      </c>
      <c r="R1591" s="283">
        <v>5662</v>
      </c>
      <c r="S1591" s="283">
        <v>5776</v>
      </c>
      <c r="T1591" s="283">
        <v>5893</v>
      </c>
      <c r="U1591" s="283">
        <v>6012</v>
      </c>
      <c r="V1591" s="283">
        <v>6133</v>
      </c>
      <c r="W1591" s="283">
        <v>6257</v>
      </c>
      <c r="X1591" s="283">
        <v>6384</v>
      </c>
      <c r="Y1591" s="283">
        <v>6513</v>
      </c>
      <c r="Z1591" s="497">
        <v>6644</v>
      </c>
      <c r="AA1591" s="60" t="s">
        <v>11</v>
      </c>
    </row>
    <row r="1592" spans="1:46" s="2" customFormat="1" x14ac:dyDescent="0.25">
      <c r="A1592" s="400" t="s">
        <v>1094</v>
      </c>
      <c r="B1592" s="26"/>
      <c r="C1592" s="306"/>
      <c r="D1592" s="14"/>
      <c r="E1592" s="317" t="s">
        <v>13</v>
      </c>
      <c r="F1592" s="24"/>
      <c r="G1592" s="15" t="s">
        <v>690</v>
      </c>
      <c r="H1592" s="163">
        <v>60773319</v>
      </c>
      <c r="I1592" s="15">
        <v>595100</v>
      </c>
      <c r="J1592" s="2" t="s">
        <v>2</v>
      </c>
      <c r="K1592" s="27">
        <v>14596.96</v>
      </c>
      <c r="L1592" s="4">
        <v>1689.14</v>
      </c>
      <c r="M1592" s="4">
        <v>1587.69</v>
      </c>
      <c r="N1592" s="4">
        <f>768.23+715.96</f>
        <v>1484.19</v>
      </c>
      <c r="O1592" s="4">
        <f>715.96+662.64</f>
        <v>1378.6</v>
      </c>
      <c r="P1592" s="366">
        <f>662.64+608.24</f>
        <v>1270.8800000000001</v>
      </c>
      <c r="Q1592" s="366">
        <f>608.24+552.74</f>
        <v>1160.98</v>
      </c>
      <c r="R1592" s="366">
        <f>552.74+496.12</f>
        <v>1048.8600000000001</v>
      </c>
      <c r="S1592" s="366">
        <f>496.12+438.36</f>
        <v>934.48</v>
      </c>
      <c r="T1592" s="366">
        <f>438.36+379.43</f>
        <v>817.79</v>
      </c>
      <c r="U1592" s="366">
        <f>379.43+319.31</f>
        <v>698.74</v>
      </c>
      <c r="V1592" s="366">
        <f>319.31+257.98</f>
        <v>577.29</v>
      </c>
      <c r="W1592" s="366">
        <f>257.98+195.41</f>
        <v>453.39</v>
      </c>
      <c r="X1592" s="366">
        <f>195.41+131.57</f>
        <v>326.98</v>
      </c>
      <c r="Y1592" s="366">
        <f>131.57+66.44</f>
        <v>198.01</v>
      </c>
      <c r="Z1592" s="516">
        <v>66.44</v>
      </c>
      <c r="AA1592" s="60" t="s">
        <v>11</v>
      </c>
    </row>
    <row r="1593" spans="1:46" s="2" customFormat="1" x14ac:dyDescent="0.25">
      <c r="A1593" s="400" t="s">
        <v>1117</v>
      </c>
      <c r="B1593" s="26"/>
      <c r="C1593" s="306"/>
      <c r="D1593" s="14"/>
      <c r="E1593" s="24"/>
      <c r="F1593" s="24" t="s">
        <v>406</v>
      </c>
      <c r="G1593" s="15" t="s">
        <v>14</v>
      </c>
      <c r="H1593" s="163">
        <v>60773319</v>
      </c>
      <c r="I1593" s="15">
        <v>595101</v>
      </c>
      <c r="J1593" s="17" t="s">
        <v>386</v>
      </c>
      <c r="K1593" s="28">
        <v>1092.3</v>
      </c>
      <c r="L1593" s="11">
        <v>126.69</v>
      </c>
      <c r="M1593" s="11">
        <v>119.08</v>
      </c>
      <c r="N1593" s="300">
        <f>54.09+53.7</f>
        <v>107.79</v>
      </c>
      <c r="O1593" s="11">
        <f>53.7+49.7</f>
        <v>103.4</v>
      </c>
      <c r="P1593" s="142">
        <f>49.7+45.62</f>
        <v>95.32</v>
      </c>
      <c r="Q1593" s="142">
        <f>45.62+41.46</f>
        <v>87.08</v>
      </c>
      <c r="R1593" s="142">
        <f>41.46+37.21</f>
        <v>78.67</v>
      </c>
      <c r="S1593" s="142">
        <f>37.21+32.88</f>
        <v>70.09</v>
      </c>
      <c r="T1593" s="142">
        <f>32.88+28.46</f>
        <v>61.34</v>
      </c>
      <c r="U1593" s="142">
        <f>28.46+23.95</f>
        <v>52.41</v>
      </c>
      <c r="V1593" s="142">
        <f>23.95+19.35</f>
        <v>43.3</v>
      </c>
      <c r="W1593" s="142">
        <f>19.35+14.66</f>
        <v>34.010000000000005</v>
      </c>
      <c r="X1593" s="142">
        <f>14.66+9.87</f>
        <v>24.53</v>
      </c>
      <c r="Y1593" s="142">
        <f>9.87+4.98</f>
        <v>14.85</v>
      </c>
      <c r="Z1593" s="500">
        <v>4.9800000000000004</v>
      </c>
      <c r="AA1593" s="558" t="s">
        <v>11</v>
      </c>
      <c r="AB1593" s="17"/>
      <c r="AC1593" s="17"/>
      <c r="AD1593" s="17"/>
      <c r="AE1593" s="17"/>
      <c r="AF1593" s="17"/>
      <c r="AG1593" s="17"/>
      <c r="AH1593" s="17"/>
      <c r="AI1593" s="17"/>
      <c r="AJ1593" s="17"/>
      <c r="AK1593" s="17"/>
      <c r="AL1593" s="17"/>
      <c r="AM1593" s="17"/>
      <c r="AN1593" s="17"/>
      <c r="AO1593" s="17"/>
      <c r="AP1593" s="17"/>
      <c r="AQ1593" s="17"/>
      <c r="AR1593" s="17"/>
      <c r="AS1593" s="17"/>
      <c r="AT1593" s="17"/>
    </row>
    <row r="1594" spans="1:46" s="6" customFormat="1" ht="13.8" thickBot="1" x14ac:dyDescent="0.3">
      <c r="A1594" s="327" t="s">
        <v>621</v>
      </c>
      <c r="B1594" s="328"/>
      <c r="C1594" s="329"/>
      <c r="D1594" s="87"/>
      <c r="E1594" s="88"/>
      <c r="F1594" s="88"/>
      <c r="G1594" s="126"/>
      <c r="H1594" s="126"/>
      <c r="I1594" s="126"/>
      <c r="J1594" s="41" t="s">
        <v>5</v>
      </c>
      <c r="K1594" s="42">
        <f>K1593+K1592+K1591</f>
        <v>102657.26</v>
      </c>
      <c r="L1594" s="43">
        <f>L1593+L1592+L1591</f>
        <v>6837.83</v>
      </c>
      <c r="M1594" s="43">
        <f>M1593+M1592+M1591</f>
        <v>6829.77</v>
      </c>
      <c r="N1594" s="43">
        <f t="shared" ref="N1594:Z1594" si="1313">N1593+N1592+N1591</f>
        <v>6818.98</v>
      </c>
      <c r="O1594" s="43">
        <f t="shared" si="1313"/>
        <v>6814</v>
      </c>
      <c r="P1594" s="43">
        <f t="shared" si="1313"/>
        <v>6806.2</v>
      </c>
      <c r="Q1594" s="43">
        <f t="shared" si="1313"/>
        <v>6798.0599999999995</v>
      </c>
      <c r="R1594" s="43">
        <f t="shared" si="1313"/>
        <v>6789.5300000000007</v>
      </c>
      <c r="S1594" s="43">
        <f t="shared" si="1313"/>
        <v>6780.57</v>
      </c>
      <c r="T1594" s="43">
        <f t="shared" si="1313"/>
        <v>6772.13</v>
      </c>
      <c r="U1594" s="43">
        <f t="shared" si="1313"/>
        <v>6763.15</v>
      </c>
      <c r="V1594" s="43">
        <f t="shared" si="1313"/>
        <v>6753.59</v>
      </c>
      <c r="W1594" s="43">
        <f t="shared" si="1313"/>
        <v>6744.4</v>
      </c>
      <c r="X1594" s="43">
        <f t="shared" si="1313"/>
        <v>6735.51</v>
      </c>
      <c r="Y1594" s="43">
        <f t="shared" si="1313"/>
        <v>6725.86</v>
      </c>
      <c r="Z1594" s="499">
        <f t="shared" si="1313"/>
        <v>6715.42</v>
      </c>
      <c r="AA1594" s="533" t="s">
        <v>11</v>
      </c>
      <c r="AB1594" s="41"/>
      <c r="AC1594" s="41"/>
      <c r="AD1594" s="41"/>
      <c r="AE1594" s="41"/>
      <c r="AF1594" s="41"/>
      <c r="AG1594" s="41"/>
      <c r="AH1594" s="41"/>
      <c r="AI1594" s="41"/>
      <c r="AJ1594" s="41"/>
      <c r="AK1594" s="41"/>
      <c r="AL1594" s="41"/>
      <c r="AM1594" s="41"/>
      <c r="AN1594" s="41"/>
      <c r="AO1594" s="41"/>
      <c r="AP1594" s="41"/>
      <c r="AQ1594" s="41"/>
      <c r="AR1594" s="41"/>
      <c r="AS1594" s="41"/>
      <c r="AT1594" s="41"/>
    </row>
    <row r="1595" spans="1:46" s="2" customFormat="1" x14ac:dyDescent="0.25">
      <c r="A1595" s="119"/>
      <c r="B1595" s="119"/>
      <c r="C1595" s="308"/>
      <c r="D1595" s="49"/>
      <c r="E1595" s="49"/>
      <c r="F1595" s="49"/>
      <c r="G1595" s="128" t="s">
        <v>334</v>
      </c>
      <c r="H1595" s="128"/>
      <c r="I1595" s="128"/>
      <c r="J1595" s="48"/>
      <c r="K1595" s="161"/>
      <c r="L1595" s="48"/>
      <c r="M1595" s="48"/>
      <c r="N1595" s="48"/>
      <c r="O1595" s="48"/>
      <c r="P1595" s="162"/>
      <c r="Q1595" s="162"/>
      <c r="R1595" s="162"/>
      <c r="S1595" s="162"/>
      <c r="T1595" s="162"/>
      <c r="U1595" s="48"/>
      <c r="V1595" s="48"/>
      <c r="W1595" s="48"/>
      <c r="X1595" s="48"/>
      <c r="Y1595" s="48"/>
      <c r="Z1595" s="48"/>
      <c r="AA1595" s="48"/>
      <c r="AB1595" s="48"/>
      <c r="AC1595" s="48"/>
      <c r="AD1595" s="48"/>
      <c r="AE1595" s="48"/>
      <c r="AF1595" s="48"/>
      <c r="AG1595" s="48"/>
      <c r="AH1595" s="48"/>
      <c r="AI1595" s="48"/>
      <c r="AJ1595" s="48"/>
      <c r="AK1595" s="48"/>
      <c r="AL1595" s="48"/>
      <c r="AM1595" s="48"/>
      <c r="AN1595" s="48"/>
      <c r="AO1595" s="48"/>
      <c r="AP1595" s="48"/>
      <c r="AQ1595" s="48"/>
      <c r="AR1595" s="48"/>
      <c r="AS1595" s="48"/>
      <c r="AT1595" s="48"/>
    </row>
    <row r="1596" spans="1:46" s="2" customFormat="1" x14ac:dyDescent="0.25">
      <c r="A1596" s="26" t="s">
        <v>0</v>
      </c>
      <c r="B1596" s="26"/>
      <c r="C1596" s="306"/>
      <c r="D1596" s="14" t="s">
        <v>0</v>
      </c>
      <c r="E1596" s="24">
        <v>41066</v>
      </c>
      <c r="F1596" s="24"/>
      <c r="G1596" s="319" t="s">
        <v>731</v>
      </c>
      <c r="H1596" s="324">
        <v>60773219</v>
      </c>
      <c r="I1596" s="319">
        <v>591100</v>
      </c>
      <c r="J1596" s="2" t="s">
        <v>1</v>
      </c>
      <c r="K1596" s="27">
        <v>357945.82</v>
      </c>
      <c r="L1596" s="4">
        <v>0</v>
      </c>
      <c r="M1596" s="4">
        <v>15651.23</v>
      </c>
      <c r="N1596" s="4">
        <v>15966.74</v>
      </c>
      <c r="O1596" s="4">
        <v>16287.93</v>
      </c>
      <c r="P1596" s="4">
        <v>16615.8</v>
      </c>
      <c r="Q1596" s="283">
        <v>16950.349999999999</v>
      </c>
      <c r="R1596" s="283">
        <v>17291.55</v>
      </c>
      <c r="S1596" s="283">
        <v>17640.419999999998</v>
      </c>
      <c r="T1596" s="283">
        <v>17994.93</v>
      </c>
      <c r="U1596" s="283">
        <v>18358.09</v>
      </c>
      <c r="V1596" s="283">
        <v>18727.88</v>
      </c>
      <c r="W1596" s="283">
        <v>19104.29</v>
      </c>
      <c r="X1596" s="283">
        <v>19489.32</v>
      </c>
      <c r="Y1596" s="283">
        <v>19881.97</v>
      </c>
      <c r="Z1596" s="497">
        <v>20282.21</v>
      </c>
      <c r="AA1596" s="536">
        <v>20690.04</v>
      </c>
      <c r="AB1596" s="5">
        <v>21107.46</v>
      </c>
      <c r="AC1596" s="5">
        <v>21532.46</v>
      </c>
      <c r="AD1596" s="5">
        <v>21965.02</v>
      </c>
      <c r="AE1596" s="5">
        <v>22408.13</v>
      </c>
      <c r="AF1596" s="2" t="s">
        <v>11</v>
      </c>
    </row>
    <row r="1597" spans="1:46" s="2" customFormat="1" x14ac:dyDescent="0.25">
      <c r="A1597" s="400" t="s">
        <v>1095</v>
      </c>
      <c r="B1597" s="26"/>
      <c r="C1597" s="306"/>
      <c r="D1597" s="14"/>
      <c r="E1597" s="317" t="s">
        <v>13</v>
      </c>
      <c r="F1597" s="24"/>
      <c r="G1597" s="15" t="s">
        <v>417</v>
      </c>
      <c r="H1597" s="163">
        <v>60773219</v>
      </c>
      <c r="I1597" s="15">
        <v>595100</v>
      </c>
      <c r="J1597" s="2" t="s">
        <v>2</v>
      </c>
      <c r="K1597" s="27">
        <v>72402.58</v>
      </c>
      <c r="L1597" s="4">
        <v>0</v>
      </c>
      <c r="M1597" s="4">
        <v>7123.67</v>
      </c>
      <c r="N1597" s="4">
        <f>3422.95+3263.28</f>
        <v>6686.23</v>
      </c>
      <c r="O1597" s="4">
        <f>3263.28+3100.4</f>
        <v>6363.68</v>
      </c>
      <c r="P1597" s="366">
        <f>3100.4+2934.24</f>
        <v>6034.6399999999994</v>
      </c>
      <c r="Q1597" s="366">
        <f>2934.24+2764.74</f>
        <v>5698.98</v>
      </c>
      <c r="R1597" s="366">
        <f>2764.74+2591.82</f>
        <v>5356.5599999999995</v>
      </c>
      <c r="S1597" s="366">
        <f>2591.82+2415.42</f>
        <v>5007.24</v>
      </c>
      <c r="T1597" s="366">
        <f>2415.42+2235.47</f>
        <v>4650.8899999999994</v>
      </c>
      <c r="U1597" s="366">
        <f>2235.47+2051.89</f>
        <v>4287.3599999999997</v>
      </c>
      <c r="V1597" s="366">
        <f>2051.89+1864.61</f>
        <v>3916.5</v>
      </c>
      <c r="W1597" s="366">
        <f>1864.61+1673.57</f>
        <v>3538.18</v>
      </c>
      <c r="X1597" s="366">
        <f>1673.57+1478.67</f>
        <v>3152.24</v>
      </c>
      <c r="Y1597" s="366">
        <f>1478.67+1279.85</f>
        <v>2758.52</v>
      </c>
      <c r="Z1597" s="516">
        <f>1279.85+1077.03</f>
        <v>2356.88</v>
      </c>
      <c r="AA1597" s="559">
        <f>1077.03+870.13</f>
        <v>1947.1599999999999</v>
      </c>
      <c r="AB1597" s="160">
        <f>870.13+659.06</f>
        <v>1529.19</v>
      </c>
      <c r="AC1597" s="160">
        <f>659.06+443.73</f>
        <v>1102.79</v>
      </c>
      <c r="AD1597" s="160">
        <f>443.78+224.08</f>
        <v>667.86</v>
      </c>
      <c r="AE1597" s="160">
        <v>224.08</v>
      </c>
      <c r="AF1597" s="2" t="s">
        <v>11</v>
      </c>
    </row>
    <row r="1598" spans="1:46" s="2" customFormat="1" x14ac:dyDescent="0.25">
      <c r="A1598" s="400" t="s">
        <v>1117</v>
      </c>
      <c r="B1598" s="26"/>
      <c r="C1598" s="306"/>
      <c r="D1598" s="14"/>
      <c r="E1598" s="24"/>
      <c r="F1598" s="24" t="s">
        <v>406</v>
      </c>
      <c r="G1598" s="15" t="s">
        <v>14</v>
      </c>
      <c r="H1598" s="163">
        <v>60773219</v>
      </c>
      <c r="I1598" s="15">
        <v>595101</v>
      </c>
      <c r="J1598" s="17" t="s">
        <v>386</v>
      </c>
      <c r="K1598" s="28">
        <v>5421.1</v>
      </c>
      <c r="L1598" s="11">
        <v>0</v>
      </c>
      <c r="M1598" s="11">
        <v>525.17999999999995</v>
      </c>
      <c r="N1598" s="300">
        <f>240.98+244.75</f>
        <v>485.73</v>
      </c>
      <c r="O1598" s="11">
        <f>244.75+232.53</f>
        <v>477.28</v>
      </c>
      <c r="P1598" s="142">
        <f>232.53+220.07</f>
        <v>452.6</v>
      </c>
      <c r="Q1598" s="142">
        <f>220.07+207.36</f>
        <v>427.43</v>
      </c>
      <c r="R1598" s="142">
        <f>207.36+194.39</f>
        <v>401.75</v>
      </c>
      <c r="S1598" s="142">
        <f>194.39+181.16</f>
        <v>375.54999999999995</v>
      </c>
      <c r="T1598" s="142">
        <f>181.16+167.66</f>
        <v>348.82</v>
      </c>
      <c r="U1598" s="142">
        <f>167.66+153.89</f>
        <v>321.54999999999995</v>
      </c>
      <c r="V1598" s="142">
        <f>153.89+139.85</f>
        <v>293.74</v>
      </c>
      <c r="W1598" s="142">
        <f>139.85+125.52</f>
        <v>265.37</v>
      </c>
      <c r="X1598" s="142">
        <f>125.52+110.9</f>
        <v>236.42000000000002</v>
      </c>
      <c r="Y1598" s="142">
        <f>110.9+95.99</f>
        <v>206.89</v>
      </c>
      <c r="Z1598" s="500">
        <f>95.99+80.78</f>
        <v>176.76999999999998</v>
      </c>
      <c r="AA1598" s="539">
        <f>80.78+65.26</f>
        <v>146.04000000000002</v>
      </c>
      <c r="AB1598" s="21">
        <f>65.26+49.43</f>
        <v>114.69</v>
      </c>
      <c r="AC1598" s="21">
        <f>49.43+33.28</f>
        <v>82.710000000000008</v>
      </c>
      <c r="AD1598" s="21">
        <f>33.28+16.81</f>
        <v>50.09</v>
      </c>
      <c r="AE1598" s="21">
        <v>16.809999999999999</v>
      </c>
      <c r="AF1598" s="136" t="s">
        <v>11</v>
      </c>
      <c r="AG1598" s="17"/>
      <c r="AH1598" s="17"/>
      <c r="AI1598" s="17"/>
      <c r="AJ1598" s="17"/>
      <c r="AK1598" s="17"/>
      <c r="AL1598" s="17"/>
      <c r="AM1598" s="17"/>
      <c r="AN1598" s="17"/>
      <c r="AO1598" s="17"/>
      <c r="AP1598" s="17"/>
      <c r="AQ1598" s="17"/>
      <c r="AR1598" s="17"/>
      <c r="AS1598" s="17"/>
      <c r="AT1598" s="17"/>
    </row>
    <row r="1599" spans="1:46" s="6" customFormat="1" ht="13.8" thickBot="1" x14ac:dyDescent="0.3">
      <c r="A1599" s="120"/>
      <c r="B1599" s="120"/>
      <c r="C1599" s="307"/>
      <c r="D1599" s="87"/>
      <c r="E1599" s="88"/>
      <c r="F1599" s="88"/>
      <c r="G1599" s="126"/>
      <c r="H1599" s="126"/>
      <c r="I1599" s="126"/>
      <c r="J1599" s="41" t="s">
        <v>5</v>
      </c>
      <c r="K1599" s="42">
        <f>K1598+K1597+K1596</f>
        <v>435769.5</v>
      </c>
      <c r="L1599" s="43">
        <f>L1598+L1597+L1596</f>
        <v>0</v>
      </c>
      <c r="M1599" s="43">
        <f>M1598+M1597+M1596</f>
        <v>23300.080000000002</v>
      </c>
      <c r="N1599" s="43">
        <f t="shared" ref="N1599" si="1314">N1598+N1597+N1596</f>
        <v>23138.699999999997</v>
      </c>
      <c r="O1599" s="43">
        <f t="shared" ref="O1599" si="1315">O1598+O1597+O1596</f>
        <v>23128.89</v>
      </c>
      <c r="P1599" s="43">
        <f t="shared" ref="P1599" si="1316">P1598+P1597+P1596</f>
        <v>23103.040000000001</v>
      </c>
      <c r="Q1599" s="43">
        <f t="shared" ref="Q1599" si="1317">Q1598+Q1597+Q1596</f>
        <v>23076.76</v>
      </c>
      <c r="R1599" s="43">
        <f t="shared" ref="R1599" si="1318">R1598+R1597+R1596</f>
        <v>23049.86</v>
      </c>
      <c r="S1599" s="43">
        <f t="shared" ref="S1599" si="1319">S1598+S1597+S1596</f>
        <v>23023.21</v>
      </c>
      <c r="T1599" s="43">
        <f t="shared" ref="T1599" si="1320">T1598+T1597+T1596</f>
        <v>22994.639999999999</v>
      </c>
      <c r="U1599" s="43">
        <f t="shared" ref="U1599" si="1321">U1598+U1597+U1596</f>
        <v>22967</v>
      </c>
      <c r="V1599" s="43">
        <f t="shared" ref="V1599" si="1322">V1598+V1597+V1596</f>
        <v>22938.120000000003</v>
      </c>
      <c r="W1599" s="43">
        <f t="shared" ref="W1599" si="1323">W1598+W1597+W1596</f>
        <v>22907.84</v>
      </c>
      <c r="X1599" s="43">
        <f t="shared" ref="X1599" si="1324">X1598+X1597+X1596</f>
        <v>22877.98</v>
      </c>
      <c r="Y1599" s="43">
        <f t="shared" ref="Y1599" si="1325">Y1598+Y1597+Y1596</f>
        <v>22847.38</v>
      </c>
      <c r="Z1599" s="499">
        <f t="shared" ref="Z1599" si="1326">Z1598+Z1597+Z1596</f>
        <v>22815.86</v>
      </c>
      <c r="AA1599" s="538">
        <f t="shared" ref="AA1599" si="1327">AA1598+AA1597+AA1596</f>
        <v>22783.24</v>
      </c>
      <c r="AB1599" s="43">
        <f t="shared" ref="AB1599" si="1328">AB1598+AB1597+AB1596</f>
        <v>22751.34</v>
      </c>
      <c r="AC1599" s="43">
        <f t="shared" ref="AC1599" si="1329">AC1598+AC1597+AC1596</f>
        <v>22717.96</v>
      </c>
      <c r="AD1599" s="43">
        <f>AD1598+AD1597+AD1596</f>
        <v>22682.97</v>
      </c>
      <c r="AE1599" s="43">
        <f t="shared" ref="AE1599" si="1330">AE1598+AE1597+AE1596</f>
        <v>22649.02</v>
      </c>
      <c r="AF1599" s="41" t="s">
        <v>11</v>
      </c>
      <c r="AG1599" s="41"/>
      <c r="AH1599" s="41"/>
      <c r="AI1599" s="41"/>
      <c r="AJ1599" s="41"/>
      <c r="AK1599" s="41"/>
      <c r="AL1599" s="41"/>
      <c r="AM1599" s="41"/>
      <c r="AN1599" s="41"/>
      <c r="AO1599" s="41"/>
      <c r="AP1599" s="41"/>
      <c r="AQ1599" s="41"/>
      <c r="AR1599" s="41"/>
      <c r="AS1599" s="41"/>
      <c r="AT1599" s="41"/>
    </row>
    <row r="1600" spans="1:46" s="2" customFormat="1" x14ac:dyDescent="0.25">
      <c r="A1600" s="119"/>
      <c r="B1600" s="119"/>
      <c r="C1600" s="308"/>
      <c r="D1600" s="49"/>
      <c r="E1600" s="49"/>
      <c r="F1600" s="49"/>
      <c r="G1600" s="128" t="s">
        <v>332</v>
      </c>
      <c r="H1600" s="128"/>
      <c r="I1600" s="128"/>
      <c r="J1600" s="48"/>
      <c r="K1600" s="161"/>
      <c r="L1600" s="48"/>
      <c r="M1600" s="48"/>
      <c r="N1600" s="48"/>
      <c r="O1600" s="48"/>
      <c r="P1600" s="162"/>
      <c r="Q1600" s="162"/>
      <c r="R1600" s="162"/>
      <c r="S1600" s="162"/>
      <c r="T1600" s="162"/>
      <c r="U1600" s="48"/>
      <c r="V1600" s="48"/>
      <c r="W1600" s="48"/>
      <c r="X1600" s="48"/>
      <c r="Y1600" s="48"/>
      <c r="Z1600" s="48"/>
      <c r="AA1600" s="48"/>
      <c r="AB1600" s="48"/>
      <c r="AC1600" s="48"/>
      <c r="AD1600" s="48"/>
      <c r="AE1600" s="48"/>
      <c r="AF1600" s="48"/>
      <c r="AG1600" s="48"/>
      <c r="AH1600" s="48"/>
      <c r="AI1600" s="48"/>
      <c r="AJ1600" s="48"/>
      <c r="AK1600" s="48"/>
      <c r="AL1600" s="48"/>
      <c r="AM1600" s="48"/>
      <c r="AN1600" s="48"/>
      <c r="AO1600" s="48"/>
      <c r="AP1600" s="48"/>
      <c r="AQ1600" s="48"/>
      <c r="AR1600" s="48"/>
      <c r="AS1600" s="48"/>
      <c r="AT1600" s="48"/>
    </row>
    <row r="1601" spans="1:46" s="2" customFormat="1" x14ac:dyDescent="0.25">
      <c r="A1601" s="26" t="s">
        <v>0</v>
      </c>
      <c r="B1601" s="26"/>
      <c r="C1601" s="306"/>
      <c r="D1601" s="14" t="s">
        <v>0</v>
      </c>
      <c r="E1601" s="24">
        <v>41066</v>
      </c>
      <c r="F1601" s="24"/>
      <c r="G1601" s="319" t="s">
        <v>732</v>
      </c>
      <c r="H1601" s="324">
        <v>60772819</v>
      </c>
      <c r="I1601" s="319">
        <v>591100</v>
      </c>
      <c r="J1601" s="2" t="s">
        <v>1</v>
      </c>
      <c r="K1601" s="27">
        <v>595167.67000000004</v>
      </c>
      <c r="L1601" s="4">
        <v>0</v>
      </c>
      <c r="M1601" s="4">
        <v>26110.98</v>
      </c>
      <c r="N1601" s="4">
        <v>26627.83</v>
      </c>
      <c r="O1601" s="4">
        <v>27154.32</v>
      </c>
      <c r="P1601" s="4">
        <v>27691.39</v>
      </c>
      <c r="Q1601" s="283">
        <v>28239.96</v>
      </c>
      <c r="R1601" s="283">
        <v>28797.96</v>
      </c>
      <c r="S1601" s="283">
        <v>29368.3</v>
      </c>
      <c r="T1601" s="283">
        <v>29948.92</v>
      </c>
      <c r="U1601" s="283">
        <v>30541.72</v>
      </c>
      <c r="V1601" s="283">
        <v>31145.63</v>
      </c>
      <c r="W1601" s="283">
        <v>31761.57</v>
      </c>
      <c r="X1601" s="283">
        <v>32389.43</v>
      </c>
      <c r="Y1601" s="283">
        <v>33030.14</v>
      </c>
      <c r="Z1601" s="497">
        <v>33683.61</v>
      </c>
      <c r="AA1601" s="536">
        <v>34349.74</v>
      </c>
      <c r="AB1601" s="5">
        <v>35028.44</v>
      </c>
      <c r="AC1601" s="5">
        <v>35721.61</v>
      </c>
      <c r="AD1601" s="5">
        <v>36428.160000000003</v>
      </c>
      <c r="AE1601" s="5">
        <v>37147.980000000003</v>
      </c>
      <c r="AF1601" s="2" t="s">
        <v>11</v>
      </c>
    </row>
    <row r="1602" spans="1:46" s="2" customFormat="1" x14ac:dyDescent="0.25">
      <c r="A1602" s="400" t="s">
        <v>1096</v>
      </c>
      <c r="B1602" s="26"/>
      <c r="C1602" s="306"/>
      <c r="D1602" s="14"/>
      <c r="E1602" s="317" t="s">
        <v>13</v>
      </c>
      <c r="F1602" s="24"/>
      <c r="G1602" s="15" t="s">
        <v>397</v>
      </c>
      <c r="H1602" s="163">
        <v>60772819</v>
      </c>
      <c r="I1602" s="15">
        <v>595100</v>
      </c>
      <c r="J1602" s="2" t="s">
        <v>2</v>
      </c>
      <c r="K1602" s="27">
        <v>121349.96</v>
      </c>
      <c r="L1602" s="4">
        <v>0</v>
      </c>
      <c r="M1602" s="4">
        <v>12932.21</v>
      </c>
      <c r="N1602" s="4">
        <f>5690.57+5424.29</f>
        <v>11114.86</v>
      </c>
      <c r="O1602" s="4">
        <f>5424.29+5152.75</f>
        <v>10577.04</v>
      </c>
      <c r="P1602" s="366">
        <f>5152.75+4875.83</f>
        <v>10028.58</v>
      </c>
      <c r="Q1602" s="366">
        <f>4875.83+4593.43</f>
        <v>9469.26</v>
      </c>
      <c r="R1602" s="366">
        <f>4593.43+4305.45</f>
        <v>8898.880000000001</v>
      </c>
      <c r="S1602" s="366">
        <f>4305.45+4011.77</f>
        <v>8317.2199999999993</v>
      </c>
      <c r="T1602" s="366">
        <f>4011.77+3712.28</f>
        <v>7724.05</v>
      </c>
      <c r="U1602" s="366">
        <f>3712.28+3406.86</f>
        <v>7119.14</v>
      </c>
      <c r="V1602" s="366">
        <f>3406.86+3095.41</f>
        <v>6502.27</v>
      </c>
      <c r="W1602" s="366">
        <f>3095.41+2777.79</f>
        <v>5873.2</v>
      </c>
      <c r="X1602" s="366">
        <f>2777.79+2453.9</f>
        <v>5231.6900000000005</v>
      </c>
      <c r="Y1602" s="366">
        <f>2453.9+2123.6</f>
        <v>4577.5</v>
      </c>
      <c r="Z1602" s="516">
        <f>2123.6+1786.76</f>
        <v>3910.3599999999997</v>
      </c>
      <c r="AA1602" s="559">
        <f>1786.76+1443.26</f>
        <v>3230.02</v>
      </c>
      <c r="AB1602" s="160">
        <f>1443.26+1092.98</f>
        <v>2536.2399999999998</v>
      </c>
      <c r="AC1602" s="160">
        <f>1092.98+735.76</f>
        <v>1828.74</v>
      </c>
      <c r="AD1602" s="160">
        <f>735.76+371.48</f>
        <v>1107.24</v>
      </c>
      <c r="AE1602" s="160">
        <v>371.48</v>
      </c>
      <c r="AF1602" s="2" t="s">
        <v>11</v>
      </c>
    </row>
    <row r="1603" spans="1:46" s="2" customFormat="1" x14ac:dyDescent="0.25">
      <c r="A1603" s="400" t="s">
        <v>1117</v>
      </c>
      <c r="B1603" s="26"/>
      <c r="C1603" s="306"/>
      <c r="D1603" s="14"/>
      <c r="E1603" s="24"/>
      <c r="F1603" s="24" t="s">
        <v>406</v>
      </c>
      <c r="G1603" s="15" t="s">
        <v>14</v>
      </c>
      <c r="H1603" s="163">
        <v>60772819</v>
      </c>
      <c r="I1603" s="15">
        <v>595101</v>
      </c>
      <c r="J1603" s="17" t="s">
        <v>386</v>
      </c>
      <c r="K1603" s="28">
        <v>9004.5</v>
      </c>
      <c r="L1603" s="11">
        <v>0</v>
      </c>
      <c r="M1603" s="11">
        <v>873.17</v>
      </c>
      <c r="N1603" s="300">
        <f>400.63+406.82</f>
        <v>807.45</v>
      </c>
      <c r="O1603" s="11">
        <f>406.82+386.46</f>
        <v>793.28</v>
      </c>
      <c r="P1603" s="142">
        <f>386.46+365.69</f>
        <v>752.15</v>
      </c>
      <c r="Q1603" s="142">
        <f>365.69+344.51</f>
        <v>710.2</v>
      </c>
      <c r="R1603" s="142">
        <f>344.51+322.91</f>
        <v>667.42000000000007</v>
      </c>
      <c r="S1603" s="142">
        <f>322.91+300.88</f>
        <v>623.79</v>
      </c>
      <c r="T1603" s="142">
        <f>300.88+278.42</f>
        <v>579.29999999999995</v>
      </c>
      <c r="U1603" s="142">
        <f>278.42+255.51</f>
        <v>533.93000000000006</v>
      </c>
      <c r="V1603" s="142">
        <f>255.51+232.16</f>
        <v>487.66999999999996</v>
      </c>
      <c r="W1603" s="142">
        <f>232.16+208.33</f>
        <v>440.49</v>
      </c>
      <c r="X1603" s="142">
        <f>208.33+184.04</f>
        <v>392.37</v>
      </c>
      <c r="Y1603" s="142">
        <f>184.04+159.27</f>
        <v>343.31</v>
      </c>
      <c r="Z1603" s="500">
        <f>159.27+134.01</f>
        <v>293.27999999999997</v>
      </c>
      <c r="AA1603" s="539">
        <f>134.01+108.24</f>
        <v>242.25</v>
      </c>
      <c r="AB1603" s="21">
        <f>108.24+81.97</f>
        <v>190.20999999999998</v>
      </c>
      <c r="AC1603" s="21">
        <f>81.97+55.18</f>
        <v>137.15</v>
      </c>
      <c r="AD1603" s="21">
        <f>55.18+27.86</f>
        <v>83.039999999999992</v>
      </c>
      <c r="AE1603" s="21">
        <v>27.86</v>
      </c>
      <c r="AF1603" s="136" t="s">
        <v>11</v>
      </c>
      <c r="AG1603" s="17"/>
      <c r="AH1603" s="17"/>
      <c r="AI1603" s="17"/>
      <c r="AJ1603" s="17"/>
      <c r="AK1603" s="17"/>
      <c r="AL1603" s="17"/>
      <c r="AM1603" s="17"/>
      <c r="AN1603" s="17"/>
      <c r="AO1603" s="17"/>
      <c r="AP1603" s="17"/>
      <c r="AQ1603" s="17"/>
      <c r="AR1603" s="17"/>
      <c r="AS1603" s="17"/>
      <c r="AT1603" s="17"/>
    </row>
    <row r="1604" spans="1:46" s="6" customFormat="1" ht="13.8" thickBot="1" x14ac:dyDescent="0.3">
      <c r="A1604" s="327" t="s">
        <v>621</v>
      </c>
      <c r="B1604" s="328"/>
      <c r="C1604" s="329"/>
      <c r="D1604" s="87"/>
      <c r="E1604" s="88"/>
      <c r="F1604" s="88"/>
      <c r="G1604" s="126"/>
      <c r="H1604" s="299" t="s">
        <v>715</v>
      </c>
      <c r="I1604" s="299"/>
      <c r="J1604" s="41" t="s">
        <v>5</v>
      </c>
      <c r="K1604" s="42">
        <f>K1603+K1602+K1601</f>
        <v>725522.13</v>
      </c>
      <c r="L1604" s="43">
        <f>L1603+L1602+L1601</f>
        <v>0</v>
      </c>
      <c r="M1604" s="43">
        <f>M1603+M1602+M1601</f>
        <v>39916.36</v>
      </c>
      <c r="N1604" s="43">
        <f t="shared" ref="N1604" si="1331">N1603+N1602+N1601</f>
        <v>38550.14</v>
      </c>
      <c r="O1604" s="298">
        <f>O1603+O1602+O1601</f>
        <v>38524.639999999999</v>
      </c>
      <c r="P1604" s="298">
        <f t="shared" ref="P1604:Q1604" si="1332">P1603+P1602+P1601</f>
        <v>38472.119999999995</v>
      </c>
      <c r="Q1604" s="43">
        <f t="shared" si="1332"/>
        <v>38419.42</v>
      </c>
      <c r="R1604" s="43">
        <f t="shared" ref="R1604:S1604" si="1333">R1603+R1602+R1601</f>
        <v>38364.26</v>
      </c>
      <c r="S1604" s="298">
        <f t="shared" si="1333"/>
        <v>38309.31</v>
      </c>
      <c r="T1604" s="43">
        <f t="shared" ref="T1604:U1604" si="1334">T1603+T1602+T1601</f>
        <v>38252.269999999997</v>
      </c>
      <c r="U1604" s="298">
        <f t="shared" si="1334"/>
        <v>38194.79</v>
      </c>
      <c r="V1604" s="43">
        <f t="shared" ref="V1604" si="1335">V1603+V1602+V1601</f>
        <v>38135.57</v>
      </c>
      <c r="W1604" s="298">
        <f t="shared" ref="W1604" si="1336">W1603+W1602+W1601</f>
        <v>38075.26</v>
      </c>
      <c r="X1604" s="43">
        <f t="shared" ref="X1604" si="1337">X1603+X1602+X1601</f>
        <v>38013.49</v>
      </c>
      <c r="Y1604" s="298">
        <f t="shared" ref="Y1604" si="1338">Y1603+Y1602+Y1601</f>
        <v>37950.949999999997</v>
      </c>
      <c r="Z1604" s="517">
        <f t="shared" ref="Z1604" si="1339">Z1603+Z1602+Z1601</f>
        <v>37887.25</v>
      </c>
      <c r="AA1604" s="538">
        <f t="shared" ref="AA1604" si="1340">AA1603+AA1602+AA1601</f>
        <v>37822.009999999995</v>
      </c>
      <c r="AB1604" s="43">
        <f t="shared" ref="AB1604" si="1341">AB1603+AB1602+AB1601</f>
        <v>37754.89</v>
      </c>
      <c r="AC1604" s="43">
        <f t="shared" ref="AC1604" si="1342">AC1603+AC1602+AC1601</f>
        <v>37687.5</v>
      </c>
      <c r="AD1604" s="43">
        <f>AD1603+AD1602+AD1601</f>
        <v>37618.44</v>
      </c>
      <c r="AE1604" s="43">
        <f t="shared" ref="AE1604" si="1343">AE1603+AE1602+AE1601</f>
        <v>37547.32</v>
      </c>
      <c r="AF1604" s="41" t="s">
        <v>11</v>
      </c>
      <c r="AG1604" s="41"/>
      <c r="AH1604" s="41"/>
      <c r="AI1604" s="41"/>
      <c r="AJ1604" s="41"/>
      <c r="AK1604" s="41"/>
      <c r="AL1604" s="41"/>
      <c r="AM1604" s="41"/>
      <c r="AN1604" s="41"/>
      <c r="AO1604" s="41"/>
      <c r="AP1604" s="41"/>
      <c r="AQ1604" s="41"/>
      <c r="AR1604" s="41"/>
      <c r="AS1604" s="41"/>
      <c r="AT1604" s="41"/>
    </row>
    <row r="1605" spans="1:46" s="2" customFormat="1" x14ac:dyDescent="0.25">
      <c r="A1605" s="119"/>
      <c r="B1605" s="119"/>
      <c r="C1605" s="308"/>
      <c r="D1605" s="49"/>
      <c r="E1605" s="49"/>
      <c r="F1605" s="49"/>
      <c r="G1605" s="128" t="s">
        <v>336</v>
      </c>
      <c r="H1605" s="128"/>
      <c r="I1605" s="128"/>
      <c r="J1605" s="48"/>
      <c r="K1605" s="161"/>
      <c r="L1605" s="48"/>
      <c r="M1605" s="48"/>
      <c r="N1605" s="48"/>
      <c r="O1605" s="48"/>
      <c r="P1605" s="162"/>
      <c r="Q1605" s="162"/>
      <c r="R1605" s="162"/>
      <c r="S1605" s="162"/>
      <c r="T1605" s="162"/>
      <c r="U1605" s="48"/>
      <c r="V1605" s="48"/>
      <c r="W1605" s="48"/>
      <c r="X1605" s="48"/>
      <c r="Y1605" s="48"/>
      <c r="Z1605" s="48"/>
      <c r="AA1605" s="48"/>
      <c r="AB1605" s="48"/>
      <c r="AC1605" s="48"/>
      <c r="AD1605" s="48"/>
      <c r="AE1605" s="48"/>
      <c r="AF1605" s="48"/>
      <c r="AG1605" s="48"/>
      <c r="AH1605" s="48"/>
      <c r="AI1605" s="48"/>
      <c r="AJ1605" s="48"/>
      <c r="AK1605" s="48"/>
      <c r="AL1605" s="48"/>
      <c r="AM1605" s="48"/>
      <c r="AN1605" s="48"/>
      <c r="AO1605" s="48"/>
      <c r="AP1605" s="48"/>
      <c r="AQ1605" s="48"/>
      <c r="AR1605" s="48"/>
      <c r="AS1605" s="48"/>
      <c r="AT1605" s="48"/>
    </row>
    <row r="1606" spans="1:46" s="2" customFormat="1" x14ac:dyDescent="0.25">
      <c r="A1606" s="26" t="s">
        <v>100</v>
      </c>
      <c r="B1606" s="26"/>
      <c r="C1606" s="306"/>
      <c r="D1606" s="33" t="s">
        <v>3</v>
      </c>
      <c r="E1606" s="34">
        <v>41183</v>
      </c>
      <c r="F1606" s="34"/>
      <c r="G1606" s="35" t="s">
        <v>743</v>
      </c>
      <c r="H1606" s="304">
        <v>1773619</v>
      </c>
      <c r="I1606" s="35">
        <v>591100</v>
      </c>
      <c r="J1606" s="2" t="s">
        <v>1</v>
      </c>
      <c r="K1606" s="27">
        <v>32567</v>
      </c>
      <c r="L1606" s="4">
        <v>0</v>
      </c>
      <c r="M1606" s="4">
        <v>0</v>
      </c>
      <c r="N1606" s="4">
        <v>0</v>
      </c>
      <c r="O1606" s="4">
        <v>0</v>
      </c>
      <c r="P1606" s="4">
        <v>6513.4</v>
      </c>
      <c r="Q1606" s="4">
        <v>6513.4</v>
      </c>
      <c r="R1606" s="4">
        <v>6513.4</v>
      </c>
      <c r="S1606" s="4">
        <v>6513.4</v>
      </c>
      <c r="T1606" s="4">
        <v>6513.4</v>
      </c>
      <c r="U1606" s="2" t="s">
        <v>11</v>
      </c>
      <c r="Z1606" s="490"/>
      <c r="AA1606" s="60"/>
    </row>
    <row r="1607" spans="1:46" s="2" customFormat="1" x14ac:dyDescent="0.25">
      <c r="A1607" s="400" t="s">
        <v>1097</v>
      </c>
      <c r="B1607" s="26"/>
      <c r="C1607" s="306"/>
      <c r="D1607" s="33"/>
      <c r="E1607" s="34" t="s">
        <v>13</v>
      </c>
      <c r="F1607" s="34"/>
      <c r="G1607" s="35" t="s">
        <v>696</v>
      </c>
      <c r="H1607" s="304">
        <v>1773619</v>
      </c>
      <c r="I1607" s="35">
        <v>595100</v>
      </c>
      <c r="J1607" s="2" t="s">
        <v>2</v>
      </c>
      <c r="K1607" s="27">
        <v>0</v>
      </c>
      <c r="L1607" s="4">
        <v>0</v>
      </c>
      <c r="M1607" s="4">
        <v>0</v>
      </c>
      <c r="N1607" s="4">
        <v>0</v>
      </c>
      <c r="O1607" s="4">
        <v>0</v>
      </c>
      <c r="P1607" s="4">
        <v>0</v>
      </c>
      <c r="Q1607" s="4">
        <v>0</v>
      </c>
      <c r="R1607" s="4">
        <v>0</v>
      </c>
      <c r="S1607" s="4">
        <v>0</v>
      </c>
      <c r="T1607" s="4">
        <v>0</v>
      </c>
      <c r="U1607" s="2" t="s">
        <v>11</v>
      </c>
      <c r="Z1607" s="490"/>
      <c r="AA1607" s="60"/>
    </row>
    <row r="1608" spans="1:46" s="2" customFormat="1" x14ac:dyDescent="0.25">
      <c r="A1608" s="26"/>
      <c r="B1608" s="26"/>
      <c r="C1608" s="306"/>
      <c r="D1608" s="33"/>
      <c r="E1608" s="34"/>
      <c r="F1608" s="34" t="s">
        <v>410</v>
      </c>
      <c r="G1608" s="35" t="s">
        <v>396</v>
      </c>
      <c r="H1608" s="304">
        <v>1773619</v>
      </c>
      <c r="I1608" s="35">
        <v>595101</v>
      </c>
      <c r="J1608" s="17" t="s">
        <v>386</v>
      </c>
      <c r="K1608" s="28">
        <v>0</v>
      </c>
      <c r="L1608" s="11">
        <v>0</v>
      </c>
      <c r="M1608" s="11">
        <v>0</v>
      </c>
      <c r="N1608" s="11">
        <v>0</v>
      </c>
      <c r="O1608" s="11">
        <v>0</v>
      </c>
      <c r="P1608" s="11">
        <v>0</v>
      </c>
      <c r="Q1608" s="11">
        <v>0</v>
      </c>
      <c r="R1608" s="11">
        <v>0</v>
      </c>
      <c r="S1608" s="11">
        <v>0</v>
      </c>
      <c r="T1608" s="11">
        <v>0</v>
      </c>
      <c r="U1608" s="368" t="s">
        <v>11</v>
      </c>
      <c r="V1608" s="17"/>
      <c r="W1608" s="17"/>
      <c r="X1608" s="17"/>
      <c r="Y1608" s="17"/>
      <c r="Z1608" s="491"/>
      <c r="AA1608" s="532"/>
      <c r="AB1608" s="17"/>
      <c r="AC1608" s="17"/>
      <c r="AD1608" s="17"/>
      <c r="AE1608" s="17"/>
      <c r="AF1608" s="17"/>
      <c r="AG1608" s="17"/>
      <c r="AH1608" s="17"/>
      <c r="AI1608" s="17"/>
      <c r="AJ1608" s="17"/>
      <c r="AK1608" s="17"/>
      <c r="AL1608" s="17"/>
      <c r="AM1608" s="17"/>
      <c r="AN1608" s="17"/>
      <c r="AO1608" s="17"/>
      <c r="AP1608" s="17"/>
      <c r="AQ1608" s="17"/>
      <c r="AR1608" s="17"/>
      <c r="AS1608" s="17"/>
      <c r="AT1608" s="17"/>
    </row>
    <row r="1609" spans="1:46" s="6" customFormat="1" ht="13.8" thickBot="1" x14ac:dyDescent="0.3">
      <c r="A1609" s="120"/>
      <c r="B1609" s="120"/>
      <c r="C1609" s="307"/>
      <c r="D1609" s="85"/>
      <c r="E1609" s="86"/>
      <c r="F1609" s="86"/>
      <c r="G1609" s="125" t="s">
        <v>697</v>
      </c>
      <c r="H1609" s="125"/>
      <c r="I1609" s="125"/>
      <c r="J1609" s="41" t="s">
        <v>5</v>
      </c>
      <c r="K1609" s="42">
        <f>K1608+K1607+K1606</f>
        <v>32567</v>
      </c>
      <c r="L1609" s="43">
        <f>L1608+L1607+L1606</f>
        <v>0</v>
      </c>
      <c r="M1609" s="43">
        <f>M1608+M1607+M1606</f>
        <v>0</v>
      </c>
      <c r="N1609" s="43">
        <f t="shared" ref="N1609:T1609" si="1344">N1608+N1607+N1606</f>
        <v>0</v>
      </c>
      <c r="O1609" s="43">
        <f t="shared" si="1344"/>
        <v>0</v>
      </c>
      <c r="P1609" s="43">
        <f t="shared" si="1344"/>
        <v>6513.4</v>
      </c>
      <c r="Q1609" s="43">
        <f t="shared" si="1344"/>
        <v>6513.4</v>
      </c>
      <c r="R1609" s="43">
        <f t="shared" si="1344"/>
        <v>6513.4</v>
      </c>
      <c r="S1609" s="43">
        <f t="shared" si="1344"/>
        <v>6513.4</v>
      </c>
      <c r="T1609" s="43">
        <f t="shared" si="1344"/>
        <v>6513.4</v>
      </c>
      <c r="U1609" s="41" t="s">
        <v>11</v>
      </c>
      <c r="V1609" s="41"/>
      <c r="W1609" s="41"/>
      <c r="X1609" s="41"/>
      <c r="Y1609" s="41"/>
      <c r="Z1609" s="492"/>
      <c r="AA1609" s="533"/>
      <c r="AB1609" s="41"/>
      <c r="AC1609" s="41"/>
      <c r="AD1609" s="41"/>
      <c r="AE1609" s="41"/>
      <c r="AF1609" s="41"/>
      <c r="AG1609" s="41"/>
      <c r="AH1609" s="41"/>
      <c r="AI1609" s="41"/>
      <c r="AJ1609" s="41"/>
      <c r="AK1609" s="41"/>
      <c r="AL1609" s="41"/>
      <c r="AM1609" s="41"/>
      <c r="AN1609" s="41"/>
      <c r="AO1609" s="41"/>
      <c r="AP1609" s="41"/>
      <c r="AQ1609" s="41"/>
      <c r="AR1609" s="41"/>
      <c r="AS1609" s="41"/>
      <c r="AT1609" s="41"/>
    </row>
    <row r="1610" spans="1:46" s="2" customFormat="1" x14ac:dyDescent="0.25">
      <c r="A1610" s="119"/>
      <c r="B1610" s="119"/>
      <c r="C1610" s="308"/>
      <c r="D1610" s="49"/>
      <c r="E1610" s="49"/>
      <c r="F1610" s="49"/>
      <c r="G1610" s="128" t="s">
        <v>723</v>
      </c>
      <c r="H1610" s="128"/>
      <c r="I1610" s="128"/>
      <c r="J1610" s="48"/>
      <c r="K1610" s="161"/>
      <c r="L1610" s="48"/>
      <c r="M1610" s="48"/>
      <c r="N1610" s="48"/>
      <c r="O1610" s="48"/>
      <c r="P1610" s="162"/>
      <c r="Q1610" s="162"/>
      <c r="R1610" s="162"/>
      <c r="S1610" s="162"/>
      <c r="T1610" s="162"/>
      <c r="U1610" s="48"/>
      <c r="V1610" s="48"/>
      <c r="W1610" s="48"/>
      <c r="X1610" s="48"/>
      <c r="Y1610" s="48"/>
      <c r="Z1610" s="48"/>
      <c r="AA1610" s="48"/>
      <c r="AB1610" s="48"/>
      <c r="AC1610" s="48"/>
      <c r="AD1610" s="48"/>
      <c r="AE1610" s="48"/>
      <c r="AF1610" s="48"/>
      <c r="AG1610" s="48"/>
      <c r="AH1610" s="48"/>
      <c r="AI1610" s="48"/>
      <c r="AJ1610" s="48"/>
      <c r="AK1610" s="48"/>
      <c r="AL1610" s="48"/>
      <c r="AM1610" s="48"/>
      <c r="AN1610" s="48"/>
      <c r="AO1610" s="48"/>
      <c r="AP1610" s="48"/>
      <c r="AQ1610" s="48"/>
      <c r="AR1610" s="48"/>
      <c r="AS1610" s="48"/>
      <c r="AT1610" s="48"/>
    </row>
    <row r="1611" spans="1:46" s="2" customFormat="1" x14ac:dyDescent="0.25">
      <c r="A1611" s="26" t="s">
        <v>100</v>
      </c>
      <c r="B1611" s="26"/>
      <c r="C1611" s="306"/>
      <c r="D1611" s="33" t="s">
        <v>3</v>
      </c>
      <c r="E1611" s="34">
        <v>41183</v>
      </c>
      <c r="F1611" s="34"/>
      <c r="G1611" s="35" t="s">
        <v>742</v>
      </c>
      <c r="H1611" s="304">
        <v>1773619</v>
      </c>
      <c r="I1611" s="35">
        <v>591100</v>
      </c>
      <c r="J1611" s="2" t="s">
        <v>1</v>
      </c>
      <c r="K1611" s="27">
        <v>1996</v>
      </c>
      <c r="L1611" s="4">
        <v>0</v>
      </c>
      <c r="M1611" s="4">
        <v>0</v>
      </c>
      <c r="N1611" s="4">
        <v>0</v>
      </c>
      <c r="O1611" s="4">
        <v>0</v>
      </c>
      <c r="P1611" s="4">
        <v>399.2</v>
      </c>
      <c r="Q1611" s="4">
        <v>399.2</v>
      </c>
      <c r="R1611" s="4">
        <v>399.2</v>
      </c>
      <c r="S1611" s="4">
        <v>399.2</v>
      </c>
      <c r="T1611" s="4">
        <v>399.2</v>
      </c>
      <c r="U1611" s="2" t="s">
        <v>11</v>
      </c>
      <c r="Z1611" s="490"/>
      <c r="AA1611" s="60"/>
    </row>
    <row r="1612" spans="1:46" s="2" customFormat="1" x14ac:dyDescent="0.25">
      <c r="A1612" s="400" t="s">
        <v>1097</v>
      </c>
      <c r="B1612" s="26"/>
      <c r="C1612" s="306"/>
      <c r="D1612" s="33"/>
      <c r="E1612" s="34" t="s">
        <v>13</v>
      </c>
      <c r="F1612" s="34"/>
      <c r="G1612" s="35" t="s">
        <v>696</v>
      </c>
      <c r="H1612" s="304">
        <v>1773619</v>
      </c>
      <c r="I1612" s="35">
        <v>595100</v>
      </c>
      <c r="J1612" s="2" t="s">
        <v>2</v>
      </c>
      <c r="K1612" s="27">
        <v>0</v>
      </c>
      <c r="L1612" s="4">
        <v>0</v>
      </c>
      <c r="M1612" s="4">
        <v>0</v>
      </c>
      <c r="N1612" s="4">
        <v>0</v>
      </c>
      <c r="O1612" s="4">
        <v>0</v>
      </c>
      <c r="P1612" s="4">
        <v>0</v>
      </c>
      <c r="Q1612" s="4">
        <v>0</v>
      </c>
      <c r="R1612" s="4">
        <v>0</v>
      </c>
      <c r="S1612" s="4">
        <v>0</v>
      </c>
      <c r="T1612" s="4">
        <v>0</v>
      </c>
      <c r="U1612" s="2" t="s">
        <v>11</v>
      </c>
      <c r="Z1612" s="490"/>
      <c r="AA1612" s="60"/>
    </row>
    <row r="1613" spans="1:46" s="2" customFormat="1" x14ac:dyDescent="0.25">
      <c r="A1613" s="26"/>
      <c r="B1613" s="26"/>
      <c r="C1613" s="306"/>
      <c r="D1613" s="33"/>
      <c r="E1613" s="34"/>
      <c r="F1613" s="34" t="s">
        <v>410</v>
      </c>
      <c r="G1613" s="35" t="s">
        <v>396</v>
      </c>
      <c r="H1613" s="304">
        <v>1773619</v>
      </c>
      <c r="I1613" s="35">
        <v>595101</v>
      </c>
      <c r="J1613" s="17" t="s">
        <v>386</v>
      </c>
      <c r="K1613" s="28">
        <v>0</v>
      </c>
      <c r="L1613" s="11">
        <v>0</v>
      </c>
      <c r="M1613" s="11">
        <v>0</v>
      </c>
      <c r="N1613" s="11">
        <v>0</v>
      </c>
      <c r="O1613" s="11">
        <v>0</v>
      </c>
      <c r="P1613" s="11">
        <v>0</v>
      </c>
      <c r="Q1613" s="11">
        <v>0</v>
      </c>
      <c r="R1613" s="11">
        <v>0</v>
      </c>
      <c r="S1613" s="11">
        <v>0</v>
      </c>
      <c r="T1613" s="11">
        <v>0</v>
      </c>
      <c r="U1613" s="368" t="s">
        <v>11</v>
      </c>
      <c r="V1613" s="17"/>
      <c r="W1613" s="17"/>
      <c r="X1613" s="17"/>
      <c r="Y1613" s="17"/>
      <c r="Z1613" s="491"/>
      <c r="AA1613" s="532"/>
      <c r="AB1613" s="17"/>
      <c r="AC1613" s="17"/>
      <c r="AD1613" s="17"/>
      <c r="AE1613" s="17"/>
      <c r="AF1613" s="17"/>
      <c r="AG1613" s="17"/>
      <c r="AH1613" s="17"/>
      <c r="AI1613" s="17"/>
      <c r="AJ1613" s="17"/>
      <c r="AK1613" s="17"/>
      <c r="AL1613" s="17"/>
      <c r="AM1613" s="17"/>
      <c r="AN1613" s="17"/>
      <c r="AO1613" s="17"/>
      <c r="AP1613" s="17"/>
      <c r="AQ1613" s="17"/>
      <c r="AR1613" s="17"/>
      <c r="AS1613" s="17"/>
      <c r="AT1613" s="17"/>
    </row>
    <row r="1614" spans="1:46" s="6" customFormat="1" ht="13.8" thickBot="1" x14ac:dyDescent="0.3">
      <c r="A1614" s="120"/>
      <c r="B1614" s="120"/>
      <c r="C1614" s="307"/>
      <c r="D1614" s="85"/>
      <c r="E1614" s="86"/>
      <c r="F1614" s="86"/>
      <c r="G1614" s="125" t="s">
        <v>697</v>
      </c>
      <c r="H1614" s="125"/>
      <c r="I1614" s="125"/>
      <c r="J1614" s="41" t="s">
        <v>5</v>
      </c>
      <c r="K1614" s="42">
        <f>K1613+K1612+K1611</f>
        <v>1996</v>
      </c>
      <c r="L1614" s="43">
        <f>L1613+L1612+L1611</f>
        <v>0</v>
      </c>
      <c r="M1614" s="43">
        <f>M1613+M1612+M1611</f>
        <v>0</v>
      </c>
      <c r="N1614" s="43">
        <f t="shared" ref="N1614" si="1345">N1613+N1612+N1611</f>
        <v>0</v>
      </c>
      <c r="O1614" s="43">
        <f t="shared" ref="O1614" si="1346">O1613+O1612+O1611</f>
        <v>0</v>
      </c>
      <c r="P1614" s="43">
        <f t="shared" ref="P1614" si="1347">P1613+P1612+P1611</f>
        <v>399.2</v>
      </c>
      <c r="Q1614" s="43">
        <f t="shared" ref="Q1614" si="1348">Q1613+Q1612+Q1611</f>
        <v>399.2</v>
      </c>
      <c r="R1614" s="43">
        <f t="shared" ref="R1614" si="1349">R1613+R1612+R1611</f>
        <v>399.2</v>
      </c>
      <c r="S1614" s="43">
        <f t="shared" ref="S1614" si="1350">S1613+S1612+S1611</f>
        <v>399.2</v>
      </c>
      <c r="T1614" s="43">
        <f t="shared" ref="T1614" si="1351">T1613+T1612+T1611</f>
        <v>399.2</v>
      </c>
      <c r="U1614" s="41" t="s">
        <v>11</v>
      </c>
      <c r="V1614" s="41"/>
      <c r="W1614" s="41"/>
      <c r="X1614" s="41"/>
      <c r="Y1614" s="41"/>
      <c r="Z1614" s="492"/>
      <c r="AA1614" s="533"/>
      <c r="AB1614" s="41"/>
      <c r="AC1614" s="41"/>
      <c r="AD1614" s="41"/>
      <c r="AE1614" s="41"/>
      <c r="AF1614" s="41"/>
      <c r="AG1614" s="41"/>
      <c r="AH1614" s="41"/>
      <c r="AI1614" s="41"/>
      <c r="AJ1614" s="41"/>
      <c r="AK1614" s="41"/>
      <c r="AL1614" s="41"/>
      <c r="AM1614" s="41"/>
      <c r="AN1614" s="41"/>
      <c r="AO1614" s="41"/>
      <c r="AP1614" s="41"/>
      <c r="AQ1614" s="41"/>
      <c r="AR1614" s="41"/>
      <c r="AS1614" s="41"/>
      <c r="AT1614" s="41"/>
    </row>
    <row r="1615" spans="1:46" s="2" customFormat="1" x14ac:dyDescent="0.25">
      <c r="A1615" s="119"/>
      <c r="B1615" s="119"/>
      <c r="C1615" s="308"/>
      <c r="D1615" s="49"/>
      <c r="E1615" s="49"/>
      <c r="F1615" s="49"/>
      <c r="G1615" s="128" t="s">
        <v>338</v>
      </c>
      <c r="H1615" s="128"/>
      <c r="I1615" s="128"/>
      <c r="J1615" s="48"/>
      <c r="K1615" s="161"/>
      <c r="L1615" s="48"/>
      <c r="M1615" s="48"/>
      <c r="N1615" s="48"/>
      <c r="O1615" s="48"/>
      <c r="P1615" s="162"/>
      <c r="Q1615" s="162"/>
      <c r="R1615" s="162"/>
      <c r="S1615" s="162"/>
      <c r="T1615" s="162"/>
      <c r="U1615" s="48"/>
      <c r="V1615" s="48"/>
      <c r="W1615" s="48"/>
      <c r="X1615" s="48"/>
      <c r="Y1615" s="48"/>
      <c r="Z1615" s="48"/>
      <c r="AA1615" s="48"/>
      <c r="AB1615" s="48"/>
      <c r="AC1615" s="48"/>
      <c r="AD1615" s="48"/>
      <c r="AE1615" s="48"/>
      <c r="AF1615" s="48"/>
      <c r="AG1615" s="48"/>
      <c r="AH1615" s="48"/>
      <c r="AI1615" s="48"/>
      <c r="AJ1615" s="48"/>
      <c r="AK1615" s="48"/>
      <c r="AL1615" s="48"/>
      <c r="AM1615" s="48"/>
      <c r="AN1615" s="48"/>
      <c r="AO1615" s="48"/>
      <c r="AP1615" s="48"/>
      <c r="AQ1615" s="48"/>
      <c r="AR1615" s="48"/>
      <c r="AS1615" s="48"/>
      <c r="AT1615" s="48"/>
    </row>
    <row r="1616" spans="1:46" s="2" customFormat="1" x14ac:dyDescent="0.25">
      <c r="A1616" s="26" t="s">
        <v>0</v>
      </c>
      <c r="B1616" s="26"/>
      <c r="C1616" s="306"/>
      <c r="D1616" s="14" t="s">
        <v>0</v>
      </c>
      <c r="E1616" s="24">
        <v>41067</v>
      </c>
      <c r="F1616" s="24"/>
      <c r="G1616" s="319" t="s">
        <v>733</v>
      </c>
      <c r="H1616" s="324">
        <v>60773419</v>
      </c>
      <c r="I1616" s="319">
        <v>591100</v>
      </c>
      <c r="J1616" s="2" t="s">
        <v>1</v>
      </c>
      <c r="K1616" s="27">
        <v>14250000</v>
      </c>
      <c r="L1616" s="4">
        <v>0</v>
      </c>
      <c r="M1616" s="4">
        <v>0</v>
      </c>
      <c r="N1616" s="4">
        <v>321893</v>
      </c>
      <c r="O1616" s="4">
        <v>330108</v>
      </c>
      <c r="P1616" s="4">
        <v>338533</v>
      </c>
      <c r="Q1616" s="4">
        <v>347172</v>
      </c>
      <c r="R1616" s="4">
        <v>356033</v>
      </c>
      <c r="S1616" s="4">
        <v>365119</v>
      </c>
      <c r="T1616" s="4">
        <v>374438</v>
      </c>
      <c r="U1616" s="4">
        <v>383994</v>
      </c>
      <c r="V1616" s="4">
        <v>393794</v>
      </c>
      <c r="W1616" s="4">
        <v>403844</v>
      </c>
      <c r="X1616" s="4">
        <v>414151</v>
      </c>
      <c r="Y1616" s="4">
        <v>424721</v>
      </c>
      <c r="Z1616" s="504">
        <v>435561</v>
      </c>
      <c r="AA1616" s="543">
        <v>446677</v>
      </c>
      <c r="AB1616" s="4">
        <v>458077</v>
      </c>
      <c r="AC1616" s="4">
        <v>469767</v>
      </c>
      <c r="AD1616" s="4">
        <v>481757</v>
      </c>
      <c r="AE1616" s="4">
        <v>494052</v>
      </c>
      <c r="AF1616" s="4">
        <v>506661</v>
      </c>
      <c r="AG1616" s="4">
        <f>519592</f>
        <v>519592</v>
      </c>
      <c r="AH1616" s="4">
        <v>532852</v>
      </c>
      <c r="AI1616" s="4">
        <v>546452</v>
      </c>
      <c r="AJ1616" s="4">
        <v>560398</v>
      </c>
      <c r="AK1616" s="4">
        <v>574700</v>
      </c>
      <c r="AL1616" s="4">
        <v>589367</v>
      </c>
      <c r="AM1616" s="4">
        <v>604409</v>
      </c>
      <c r="AN1616" s="4">
        <v>619834</v>
      </c>
      <c r="AO1616" s="4">
        <v>635654</v>
      </c>
      <c r="AP1616" s="4">
        <v>651877</v>
      </c>
      <c r="AQ1616" s="4">
        <v>668513</v>
      </c>
      <c r="AR1616" s="2" t="s">
        <v>11</v>
      </c>
    </row>
    <row r="1617" spans="1:46" s="2" customFormat="1" x14ac:dyDescent="0.25">
      <c r="A1617" s="400" t="s">
        <v>1098</v>
      </c>
      <c r="B1617" s="26"/>
      <c r="C1617" s="306"/>
      <c r="D1617" s="14"/>
      <c r="E1617" s="317" t="s">
        <v>13</v>
      </c>
      <c r="F1617" s="24"/>
      <c r="G1617" s="15" t="s">
        <v>692</v>
      </c>
      <c r="H1617" s="163">
        <v>60773419</v>
      </c>
      <c r="I1617" s="15">
        <v>595100</v>
      </c>
      <c r="J1617" s="2" t="s">
        <v>2</v>
      </c>
      <c r="K1617" s="27">
        <v>809476.63</v>
      </c>
      <c r="L1617" s="4">
        <v>0</v>
      </c>
      <c r="M1617" s="4">
        <v>198882.5</v>
      </c>
      <c r="N1617" s="4">
        <v>168862.5</v>
      </c>
      <c r="O1617" s="4">
        <v>0</v>
      </c>
      <c r="P1617" s="4">
        <v>0</v>
      </c>
      <c r="Q1617" s="4">
        <v>0</v>
      </c>
      <c r="R1617" s="4">
        <v>0</v>
      </c>
      <c r="S1617" s="4">
        <v>0</v>
      </c>
      <c r="T1617" s="4">
        <v>0</v>
      </c>
      <c r="U1617" s="4">
        <v>0</v>
      </c>
      <c r="V1617" s="4">
        <v>0</v>
      </c>
      <c r="W1617" s="4">
        <v>0</v>
      </c>
      <c r="X1617" s="4">
        <v>0</v>
      </c>
      <c r="Y1617" s="4">
        <v>0</v>
      </c>
      <c r="Z1617" s="504">
        <v>0</v>
      </c>
      <c r="AA1617" s="543">
        <v>0</v>
      </c>
      <c r="AB1617" s="4">
        <v>0</v>
      </c>
      <c r="AC1617" s="4">
        <v>0</v>
      </c>
      <c r="AD1617" s="4">
        <v>0</v>
      </c>
      <c r="AE1617" s="4">
        <v>0</v>
      </c>
      <c r="AF1617" s="4">
        <v>0</v>
      </c>
      <c r="AG1617" s="4">
        <v>0</v>
      </c>
      <c r="AH1617" s="4">
        <v>0</v>
      </c>
      <c r="AI1617" s="4">
        <v>0</v>
      </c>
      <c r="AJ1617" s="4">
        <f>19513.28+51480.59</f>
        <v>70993.87</v>
      </c>
      <c r="AK1617" s="4">
        <f>51480.59+44670.4</f>
        <v>96150.989999999991</v>
      </c>
      <c r="AL1617" s="4">
        <f>44670.4+37686.4</f>
        <v>82356.800000000003</v>
      </c>
      <c r="AM1617" s="4">
        <f>37686.4+30524.15</f>
        <v>68210.55</v>
      </c>
      <c r="AN1617" s="4">
        <f>30524.15+23179.12</f>
        <v>53703.270000000004</v>
      </c>
      <c r="AO1617" s="4">
        <f>23179.12+15646.62</f>
        <v>38825.74</v>
      </c>
      <c r="AP1617" s="4">
        <f>15646.62+7921.88</f>
        <v>23568.5</v>
      </c>
      <c r="AQ1617" s="4">
        <v>7921.88</v>
      </c>
      <c r="AR1617" s="2" t="s">
        <v>11</v>
      </c>
    </row>
    <row r="1618" spans="1:46" s="2" customFormat="1" x14ac:dyDescent="0.25">
      <c r="A1618" s="400" t="s">
        <v>1120</v>
      </c>
      <c r="B1618" s="26"/>
      <c r="C1618" s="306"/>
      <c r="D1618" s="14"/>
      <c r="E1618" s="24"/>
      <c r="F1618" s="24" t="s">
        <v>406</v>
      </c>
      <c r="G1618" s="15" t="s">
        <v>14</v>
      </c>
      <c r="H1618" s="163">
        <v>60773419</v>
      </c>
      <c r="I1618" s="15">
        <v>595101</v>
      </c>
      <c r="J1618" s="17" t="s">
        <v>386</v>
      </c>
      <c r="K1618" s="28">
        <v>371288.77</v>
      </c>
      <c r="L1618" s="11">
        <v>0</v>
      </c>
      <c r="M1618" s="11">
        <v>10687.5</v>
      </c>
      <c r="N1618" s="300">
        <f>10032.35+10446.08</f>
        <v>20478.43</v>
      </c>
      <c r="O1618" s="11">
        <f>10446.08+10198.5</f>
        <v>20644.580000000002</v>
      </c>
      <c r="P1618" s="11">
        <f>10198.5+9944.6</f>
        <v>20143.099999999999</v>
      </c>
      <c r="Q1618" s="11">
        <f>9944.6+9684.22</f>
        <v>19628.82</v>
      </c>
      <c r="R1618" s="11">
        <f>9684.22+9417.2</f>
        <v>19101.419999999998</v>
      </c>
      <c r="S1618" s="11">
        <f>9417.2+9143.36</f>
        <v>18560.560000000001</v>
      </c>
      <c r="T1618" s="11">
        <f>9143.36+8862.53</f>
        <v>18005.89</v>
      </c>
      <c r="U1618" s="11">
        <f>8862.53+8574.53</f>
        <v>17437.060000000001</v>
      </c>
      <c r="V1618" s="11">
        <f>8574.53+8279.19</f>
        <v>16853.72</v>
      </c>
      <c r="W1618" s="11">
        <f>8279.19+7976.3</f>
        <v>16255.490000000002</v>
      </c>
      <c r="X1618" s="11">
        <f>7976.3+7665.69</f>
        <v>15641.99</v>
      </c>
      <c r="Y1618" s="11">
        <f>7665.69+7347.15</f>
        <v>15012.84</v>
      </c>
      <c r="Z1618" s="505">
        <f>7347.15+7020.48</f>
        <v>14367.63</v>
      </c>
      <c r="AA1618" s="544">
        <f>7020.48+6685.47</f>
        <v>13705.95</v>
      </c>
      <c r="AB1618" s="11">
        <f>6685.47+6341.91</f>
        <v>13027.380000000001</v>
      </c>
      <c r="AC1618" s="11">
        <f>6341.91+5989.59</f>
        <v>12331.5</v>
      </c>
      <c r="AD1618" s="11">
        <f>5989.59+5628.27</f>
        <v>11617.86</v>
      </c>
      <c r="AE1618" s="11">
        <f>5628.27+5257.73</f>
        <v>10886</v>
      </c>
      <c r="AF1618" s="11">
        <f>5257.73+4877.74</f>
        <v>10135.469999999999</v>
      </c>
      <c r="AG1618" s="11">
        <f>4877.74+4488.04</f>
        <v>9365.7799999999988</v>
      </c>
      <c r="AH1618" s="11">
        <f>4488.04+4088.4</f>
        <v>8576.44</v>
      </c>
      <c r="AI1618" s="11">
        <f>4088.4+3678.56</f>
        <v>7766.96</v>
      </c>
      <c r="AJ1618" s="11">
        <f>3678.56+3258.27</f>
        <v>6936.83</v>
      </c>
      <c r="AK1618" s="11">
        <f>3258.27+2827.24</f>
        <v>6085.51</v>
      </c>
      <c r="AL1618" s="11">
        <f>2827.24+2385.22</f>
        <v>5212.4599999999991</v>
      </c>
      <c r="AM1618" s="11">
        <f>2385.22+1931.91</f>
        <v>4317.13</v>
      </c>
      <c r="AN1618" s="11">
        <f>1931.91+1467.03</f>
        <v>3398.94</v>
      </c>
      <c r="AO1618" s="11">
        <f>1467.03+990.29</f>
        <v>2457.3199999999997</v>
      </c>
      <c r="AP1618" s="11">
        <f>990.29+501.38</f>
        <v>1491.67</v>
      </c>
      <c r="AQ1618" s="11">
        <v>501.38</v>
      </c>
      <c r="AR1618" s="136" t="s">
        <v>11</v>
      </c>
      <c r="AS1618" s="136"/>
      <c r="AT1618" s="136"/>
    </row>
    <row r="1619" spans="1:46" s="6" customFormat="1" ht="13.8" thickBot="1" x14ac:dyDescent="0.3">
      <c r="A1619" s="26"/>
      <c r="B1619" s="26"/>
      <c r="C1619" s="306"/>
      <c r="D1619" s="14"/>
      <c r="E1619" s="24"/>
      <c r="F1619" s="24"/>
      <c r="G1619" s="15" t="s">
        <v>752</v>
      </c>
      <c r="H1619" s="15"/>
      <c r="I1619" s="15"/>
      <c r="J1619" s="41" t="s">
        <v>6</v>
      </c>
      <c r="K1619" s="42">
        <f>K1618+K1617+K1616</f>
        <v>15430765.4</v>
      </c>
      <c r="L1619" s="43">
        <f>L1618+L1617+L1616</f>
        <v>0</v>
      </c>
      <c r="M1619" s="43">
        <f>M1618+M1617+M1616</f>
        <v>209570</v>
      </c>
      <c r="N1619" s="43">
        <f t="shared" ref="N1619" si="1352">N1618+N1617+N1616</f>
        <v>511233.93</v>
      </c>
      <c r="O1619" s="43">
        <f t="shared" ref="O1619" si="1353">O1618+O1617+O1616</f>
        <v>350752.58</v>
      </c>
      <c r="P1619" s="43">
        <f t="shared" ref="P1619" si="1354">P1618+P1617+P1616</f>
        <v>358676.1</v>
      </c>
      <c r="Q1619" s="43">
        <f t="shared" ref="Q1619" si="1355">Q1618+Q1617+Q1616</f>
        <v>366800.82</v>
      </c>
      <c r="R1619" s="43">
        <f t="shared" ref="R1619" si="1356">R1618+R1617+R1616</f>
        <v>375134.42</v>
      </c>
      <c r="S1619" s="43">
        <f t="shared" ref="S1619" si="1357">S1618+S1617+S1616</f>
        <v>383679.56</v>
      </c>
      <c r="T1619" s="43">
        <f t="shared" ref="T1619" si="1358">T1618+T1617+T1616</f>
        <v>392443.89</v>
      </c>
      <c r="U1619" s="43">
        <f t="shared" ref="U1619" si="1359">U1618+U1617+U1616</f>
        <v>401431.06</v>
      </c>
      <c r="V1619" s="43">
        <f t="shared" ref="V1619" si="1360">V1618+V1617+V1616</f>
        <v>410647.72</v>
      </c>
      <c r="W1619" s="43">
        <f t="shared" ref="W1619" si="1361">W1618+W1617+W1616</f>
        <v>420099.49</v>
      </c>
      <c r="X1619" s="43">
        <f t="shared" ref="X1619" si="1362">X1618+X1617+X1616</f>
        <v>429792.99</v>
      </c>
      <c r="Y1619" s="43">
        <f t="shared" ref="Y1619" si="1363">Y1618+Y1617+Y1616</f>
        <v>439733.84</v>
      </c>
      <c r="Z1619" s="499">
        <f t="shared" ref="Z1619" si="1364">Z1618+Z1617+Z1616</f>
        <v>449928.63</v>
      </c>
      <c r="AA1619" s="538">
        <f t="shared" ref="AA1619" si="1365">AA1618+AA1617+AA1616</f>
        <v>460382.95</v>
      </c>
      <c r="AB1619" s="43">
        <f t="shared" ref="AB1619" si="1366">AB1618+AB1617+AB1616</f>
        <v>471104.38</v>
      </c>
      <c r="AC1619" s="43">
        <f t="shared" ref="AC1619" si="1367">AC1618+AC1617+AC1616</f>
        <v>482098.5</v>
      </c>
      <c r="AD1619" s="43">
        <f t="shared" ref="AD1619" si="1368">AD1618+AD1617+AD1616</f>
        <v>493374.86</v>
      </c>
      <c r="AE1619" s="43">
        <f t="shared" ref="AE1619" si="1369">AE1618+AE1617+AE1616</f>
        <v>504938</v>
      </c>
      <c r="AF1619" s="43">
        <f t="shared" ref="AF1619" si="1370">AF1618+AF1617+AF1616</f>
        <v>516796.47</v>
      </c>
      <c r="AG1619" s="43">
        <f t="shared" ref="AG1619" si="1371">AG1618+AG1617+AG1616</f>
        <v>528957.78</v>
      </c>
      <c r="AH1619" s="43">
        <f t="shared" ref="AH1619" si="1372">AH1618+AH1617+AH1616</f>
        <v>541428.43999999994</v>
      </c>
      <c r="AI1619" s="43">
        <f t="shared" ref="AI1619" si="1373">AI1618+AI1617+AI1616</f>
        <v>554218.96</v>
      </c>
      <c r="AJ1619" s="43">
        <f t="shared" ref="AJ1619" si="1374">AJ1618+AJ1617+AJ1616</f>
        <v>638328.69999999995</v>
      </c>
      <c r="AK1619" s="43">
        <f t="shared" ref="AK1619" si="1375">AK1618+AK1617+AK1616</f>
        <v>676936.5</v>
      </c>
      <c r="AL1619" s="43">
        <f t="shared" ref="AL1619" si="1376">AL1618+AL1617+AL1616</f>
        <v>676936.26</v>
      </c>
      <c r="AM1619" s="43">
        <f t="shared" ref="AM1619" si="1377">AM1618+AM1617+AM1616</f>
        <v>676936.68</v>
      </c>
      <c r="AN1619" s="43">
        <f t="shared" ref="AN1619" si="1378">AN1618+AN1617+AN1616</f>
        <v>676936.21</v>
      </c>
      <c r="AO1619" s="43">
        <f t="shared" ref="AO1619" si="1379">AO1618+AO1617+AO1616</f>
        <v>676937.06</v>
      </c>
      <c r="AP1619" s="43">
        <f t="shared" ref="AP1619" si="1380">AP1618+AP1617+AP1616</f>
        <v>676937.17</v>
      </c>
      <c r="AQ1619" s="43">
        <f t="shared" ref="AQ1619" si="1381">AQ1618+AQ1617+AQ1616</f>
        <v>676936.26</v>
      </c>
      <c r="AR1619" s="41" t="s">
        <v>11</v>
      </c>
      <c r="AS1619" s="41"/>
      <c r="AT1619" s="41"/>
    </row>
    <row r="1620" spans="1:46" s="6" customFormat="1" x14ac:dyDescent="0.25">
      <c r="A1620" s="26"/>
      <c r="B1620" s="26"/>
      <c r="C1620" s="306"/>
      <c r="D1620" s="14"/>
      <c r="E1620" s="24"/>
      <c r="F1620" s="24"/>
      <c r="G1620" s="15" t="s">
        <v>402</v>
      </c>
      <c r="H1620" s="15">
        <v>595102</v>
      </c>
      <c r="I1620" s="172"/>
      <c r="J1620" s="173" t="s">
        <v>404</v>
      </c>
      <c r="K1620" s="165"/>
      <c r="L1620" s="166">
        <v>0</v>
      </c>
      <c r="M1620" s="166">
        <f>M1619*0.765+(79372.5*0.765)</f>
        <v>221041.01249999998</v>
      </c>
      <c r="N1620" s="166">
        <f>N1619*0.765</f>
        <v>391093.95645</v>
      </c>
      <c r="O1620" s="166">
        <f t="shared" ref="O1620" si="1382">O1619*0.765</f>
        <v>268325.72370000003</v>
      </c>
      <c r="P1620" s="166">
        <f t="shared" ref="P1620" si="1383">P1619*0.765</f>
        <v>274387.21649999998</v>
      </c>
      <c r="Q1620" s="166">
        <f t="shared" ref="Q1620" si="1384">Q1619*0.765</f>
        <v>280602.62729999999</v>
      </c>
      <c r="R1620" s="166">
        <f t="shared" ref="R1620" si="1385">R1619*0.765</f>
        <v>286977.83130000002</v>
      </c>
      <c r="S1620" s="166">
        <f t="shared" ref="S1620" si="1386">S1619*0.765</f>
        <v>293514.86340000003</v>
      </c>
      <c r="T1620" s="166">
        <f t="shared" ref="T1620" si="1387">T1619*0.765</f>
        <v>300219.57585000002</v>
      </c>
      <c r="U1620" s="166">
        <f t="shared" ref="U1620" si="1388">U1619*0.765</f>
        <v>307094.76089999999</v>
      </c>
      <c r="V1620" s="166">
        <f t="shared" ref="V1620" si="1389">V1619*0.765</f>
        <v>314145.50579999998</v>
      </c>
      <c r="W1620" s="166">
        <f t="shared" ref="W1620" si="1390">W1619*0.765</f>
        <v>321376.10985000001</v>
      </c>
      <c r="X1620" s="166">
        <f t="shared" ref="X1620" si="1391">X1619*0.765</f>
        <v>328791.63734999998</v>
      </c>
      <c r="Y1620" s="166">
        <f t="shared" ref="Y1620" si="1392">Y1619*0.765</f>
        <v>336396.38760000002</v>
      </c>
      <c r="Z1620" s="166">
        <f t="shared" ref="Z1620" si="1393">Z1619*0.765</f>
        <v>344195.40195000003</v>
      </c>
      <c r="AA1620" s="166">
        <f t="shared" ref="AA1620" si="1394">AA1619*0.765</f>
        <v>352192.95675000001</v>
      </c>
      <c r="AB1620" s="166">
        <f t="shared" ref="AB1620" si="1395">AB1619*0.765</f>
        <v>360394.85070000001</v>
      </c>
      <c r="AC1620" s="166">
        <f t="shared" ref="AC1620" si="1396">AC1619*0.765</f>
        <v>368805.35249999998</v>
      </c>
      <c r="AD1620" s="166">
        <f t="shared" ref="AD1620" si="1397">AD1619*0.765</f>
        <v>377431.76789999998</v>
      </c>
      <c r="AE1620" s="166">
        <f t="shared" ref="AE1620" si="1398">AE1619*0.765</f>
        <v>386277.57</v>
      </c>
      <c r="AF1620" s="166">
        <f t="shared" ref="AF1620" si="1399">AF1619*0.765</f>
        <v>395349.29955</v>
      </c>
      <c r="AG1620" s="166">
        <f t="shared" ref="AG1620" si="1400">AG1619*0.765</f>
        <v>404652.70170000003</v>
      </c>
      <c r="AH1620" s="166">
        <f t="shared" ref="AH1620" si="1401">AH1619*0.765</f>
        <v>414192.75659999996</v>
      </c>
      <c r="AI1620" s="166">
        <f t="shared" ref="AI1620" si="1402">AI1619*0.765</f>
        <v>423977.50439999998</v>
      </c>
      <c r="AJ1620" s="166">
        <f t="shared" ref="AJ1620" si="1403">AJ1619*0.765</f>
        <v>488321.45549999998</v>
      </c>
      <c r="AK1620" s="166">
        <f t="shared" ref="AK1620" si="1404">AK1619*0.765</f>
        <v>517856.42249999999</v>
      </c>
      <c r="AL1620" s="166">
        <f t="shared" ref="AL1620" si="1405">AL1619*0.765</f>
        <v>517856.2389</v>
      </c>
      <c r="AM1620" s="166">
        <f t="shared" ref="AM1620" si="1406">AM1619*0.765</f>
        <v>517856.56020000007</v>
      </c>
      <c r="AN1620" s="166">
        <f t="shared" ref="AN1620" si="1407">AN1619*0.765</f>
        <v>517856.20064999996</v>
      </c>
      <c r="AO1620" s="166">
        <f t="shared" ref="AO1620" si="1408">AO1619*0.765</f>
        <v>517856.85090000008</v>
      </c>
      <c r="AP1620" s="166">
        <f t="shared" ref="AP1620" si="1409">AP1619*0.765</f>
        <v>517856.93505000003</v>
      </c>
      <c r="AQ1620" s="166">
        <f t="shared" ref="AQ1620" si="1410">AQ1619*0.765</f>
        <v>517856.2389</v>
      </c>
      <c r="AR1620" s="167" t="s">
        <v>11</v>
      </c>
      <c r="AS1620" s="167"/>
      <c r="AT1620" s="167"/>
    </row>
    <row r="1621" spans="1:46" s="6" customFormat="1" ht="13.8" thickBot="1" x14ac:dyDescent="0.3">
      <c r="A1621" s="327" t="s">
        <v>621</v>
      </c>
      <c r="B1621" s="328"/>
      <c r="C1621" s="329"/>
      <c r="D1621" s="87"/>
      <c r="E1621" s="88"/>
      <c r="F1621" s="88"/>
      <c r="G1621" s="126" t="s">
        <v>403</v>
      </c>
      <c r="H1621" s="126"/>
      <c r="I1621" s="171"/>
      <c r="J1621" s="168" t="s">
        <v>401</v>
      </c>
      <c r="K1621" s="169"/>
      <c r="L1621" s="170">
        <v>0</v>
      </c>
      <c r="M1621" s="170">
        <f>M1619*0.235+(79372.5*0.235)</f>
        <v>67901.487499999988</v>
      </c>
      <c r="N1621" s="170">
        <f>N1619*0.235</f>
        <v>120139.97355</v>
      </c>
      <c r="O1621" s="170">
        <f t="shared" ref="O1621:AQ1621" si="1411">O1619*0.235</f>
        <v>82426.856299999999</v>
      </c>
      <c r="P1621" s="170">
        <f t="shared" si="1411"/>
        <v>84288.883499999996</v>
      </c>
      <c r="Q1621" s="170">
        <f t="shared" si="1411"/>
        <v>86198.1927</v>
      </c>
      <c r="R1621" s="170">
        <f t="shared" si="1411"/>
        <v>88156.588699999993</v>
      </c>
      <c r="S1621" s="170">
        <f t="shared" si="1411"/>
        <v>90164.696599999996</v>
      </c>
      <c r="T1621" s="170">
        <f t="shared" si="1411"/>
        <v>92224.314149999991</v>
      </c>
      <c r="U1621" s="170">
        <f t="shared" si="1411"/>
        <v>94336.299099999989</v>
      </c>
      <c r="V1621" s="170">
        <f t="shared" si="1411"/>
        <v>96502.214199999988</v>
      </c>
      <c r="W1621" s="170">
        <f t="shared" si="1411"/>
        <v>98723.380149999997</v>
      </c>
      <c r="X1621" s="170">
        <f t="shared" si="1411"/>
        <v>101001.35264999999</v>
      </c>
      <c r="Y1621" s="170">
        <f t="shared" si="1411"/>
        <v>103337.45239999999</v>
      </c>
      <c r="Z1621" s="170">
        <f t="shared" si="1411"/>
        <v>105733.22804999999</v>
      </c>
      <c r="AA1621" s="170">
        <f t="shared" si="1411"/>
        <v>108189.99325</v>
      </c>
      <c r="AB1621" s="170">
        <f t="shared" si="1411"/>
        <v>110709.52929999999</v>
      </c>
      <c r="AC1621" s="170">
        <f t="shared" si="1411"/>
        <v>113293.14749999999</v>
      </c>
      <c r="AD1621" s="170">
        <f t="shared" si="1411"/>
        <v>115943.09209999999</v>
      </c>
      <c r="AE1621" s="170">
        <f t="shared" si="1411"/>
        <v>118660.43</v>
      </c>
      <c r="AF1621" s="170">
        <f t="shared" si="1411"/>
        <v>121447.17044999999</v>
      </c>
      <c r="AG1621" s="170">
        <f t="shared" si="1411"/>
        <v>124305.07829999999</v>
      </c>
      <c r="AH1621" s="170">
        <f t="shared" si="1411"/>
        <v>127235.68339999998</v>
      </c>
      <c r="AI1621" s="170">
        <f t="shared" si="1411"/>
        <v>130241.45559999999</v>
      </c>
      <c r="AJ1621" s="170">
        <f t="shared" si="1411"/>
        <v>150007.24449999997</v>
      </c>
      <c r="AK1621" s="170">
        <f t="shared" si="1411"/>
        <v>159080.07749999998</v>
      </c>
      <c r="AL1621" s="170">
        <f t="shared" si="1411"/>
        <v>159080.02109999998</v>
      </c>
      <c r="AM1621" s="170">
        <f t="shared" si="1411"/>
        <v>159080.11980000001</v>
      </c>
      <c r="AN1621" s="170">
        <f t="shared" si="1411"/>
        <v>159080.00934999998</v>
      </c>
      <c r="AO1621" s="170">
        <f t="shared" si="1411"/>
        <v>159080.20910000001</v>
      </c>
      <c r="AP1621" s="170">
        <f t="shared" si="1411"/>
        <v>159080.23495000001</v>
      </c>
      <c r="AQ1621" s="170">
        <f t="shared" si="1411"/>
        <v>159080.02109999998</v>
      </c>
      <c r="AR1621" s="171" t="s">
        <v>11</v>
      </c>
      <c r="AS1621" s="171"/>
      <c r="AT1621" s="171"/>
    </row>
    <row r="1622" spans="1:46" s="2" customFormat="1" x14ac:dyDescent="0.25">
      <c r="A1622" s="119"/>
      <c r="B1622" s="119"/>
      <c r="C1622" s="308"/>
      <c r="D1622" s="49"/>
      <c r="E1622" s="49"/>
      <c r="F1622" s="49"/>
      <c r="G1622" s="128" t="s">
        <v>337</v>
      </c>
      <c r="H1622" s="128"/>
      <c r="I1622" s="128"/>
      <c r="J1622" s="48"/>
      <c r="K1622" s="161"/>
      <c r="L1622" s="48"/>
      <c r="M1622" s="48"/>
      <c r="N1622" s="48"/>
      <c r="O1622" s="48"/>
      <c r="P1622" s="162"/>
      <c r="Q1622" s="162"/>
      <c r="R1622" s="162"/>
      <c r="S1622" s="162"/>
      <c r="T1622" s="162"/>
      <c r="U1622" s="48"/>
      <c r="V1622" s="48"/>
      <c r="W1622" s="48"/>
      <c r="X1622" s="48"/>
      <c r="Y1622" s="48"/>
      <c r="Z1622" s="48"/>
      <c r="AA1622" s="48"/>
      <c r="AB1622" s="48"/>
      <c r="AC1622" s="48"/>
      <c r="AD1622" s="48"/>
      <c r="AE1622" s="48"/>
      <c r="AF1622" s="48"/>
      <c r="AG1622" s="48"/>
      <c r="AH1622" s="48"/>
      <c r="AI1622" s="48"/>
      <c r="AJ1622" s="48"/>
      <c r="AK1622" s="48"/>
      <c r="AL1622" s="48"/>
      <c r="AM1622" s="48"/>
      <c r="AN1622" s="48"/>
      <c r="AO1622" s="48"/>
      <c r="AP1622" s="48"/>
      <c r="AQ1622" s="48"/>
      <c r="AR1622" s="48"/>
      <c r="AS1622" s="48"/>
      <c r="AT1622" s="48"/>
    </row>
    <row r="1623" spans="1:46" s="2" customFormat="1" x14ac:dyDescent="0.25">
      <c r="A1623" s="26" t="s">
        <v>0</v>
      </c>
      <c r="B1623" s="26"/>
      <c r="C1623" s="306"/>
      <c r="D1623" s="14" t="s">
        <v>0</v>
      </c>
      <c r="E1623" s="24">
        <v>41162</v>
      </c>
      <c r="F1623" s="24"/>
      <c r="G1623" s="319" t="s">
        <v>849</v>
      </c>
      <c r="H1623" s="324">
        <v>60773719</v>
      </c>
      <c r="I1623" s="319">
        <v>591100</v>
      </c>
      <c r="J1623" s="2" t="s">
        <v>1</v>
      </c>
      <c r="K1623" s="27">
        <v>10537867.24</v>
      </c>
      <c r="L1623" s="4">
        <v>0</v>
      </c>
      <c r="M1623" s="4">
        <v>0</v>
      </c>
      <c r="N1623" s="4">
        <v>0</v>
      </c>
      <c r="O1623" s="4">
        <v>0</v>
      </c>
      <c r="P1623" s="4">
        <v>372315</v>
      </c>
      <c r="Q1623" s="4">
        <v>361000.43</v>
      </c>
      <c r="R1623" s="4">
        <v>361248.97</v>
      </c>
      <c r="S1623" s="4">
        <v>361491.39</v>
      </c>
      <c r="T1623" s="404">
        <f>361725.48+0.01</f>
        <v>361725.49</v>
      </c>
      <c r="U1623" s="4">
        <v>361953.03</v>
      </c>
      <c r="V1623" s="4">
        <v>362171.8</v>
      </c>
      <c r="W1623" s="4">
        <v>362382.58</v>
      </c>
      <c r="X1623" s="4">
        <v>362584.11</v>
      </c>
      <c r="Y1623" s="4">
        <v>362778.17</v>
      </c>
      <c r="Z1623" s="504">
        <v>362962.51</v>
      </c>
      <c r="AA1623" s="543">
        <v>363138.86</v>
      </c>
      <c r="AB1623" s="4">
        <v>363304.98</v>
      </c>
      <c r="AC1623" s="4">
        <v>363461.58</v>
      </c>
      <c r="AD1623" s="4">
        <v>363608.41</v>
      </c>
      <c r="AE1623" s="4">
        <v>363745.17</v>
      </c>
      <c r="AF1623" s="4">
        <v>363870.57</v>
      </c>
      <c r="AG1623" s="4">
        <v>363986.32</v>
      </c>
      <c r="AH1623" s="4">
        <v>364090.12</v>
      </c>
      <c r="AI1623" s="4">
        <v>364182.65</v>
      </c>
      <c r="AJ1623" s="4">
        <v>364263.59</v>
      </c>
      <c r="AK1623" s="4">
        <v>364332.62</v>
      </c>
      <c r="AL1623" s="4">
        <v>364389.38</v>
      </c>
      <c r="AM1623" s="4">
        <v>364433.55</v>
      </c>
      <c r="AN1623" s="4">
        <v>364463.75</v>
      </c>
      <c r="AO1623" s="4">
        <v>364481.63</v>
      </c>
      <c r="AP1623" s="4">
        <v>364484.82</v>
      </c>
      <c r="AQ1623" s="4">
        <v>364473.92</v>
      </c>
      <c r="AR1623" s="4">
        <v>364448.55</v>
      </c>
      <c r="AS1623" s="4">
        <v>364408.29</v>
      </c>
      <c r="AT1623" s="2" t="s">
        <v>11</v>
      </c>
    </row>
    <row r="1624" spans="1:46" s="2" customFormat="1" x14ac:dyDescent="0.25">
      <c r="A1624" s="400" t="s">
        <v>1099</v>
      </c>
      <c r="B1624" s="26"/>
      <c r="C1624" s="306"/>
      <c r="D1624" s="14"/>
      <c r="E1624" s="317" t="s">
        <v>13</v>
      </c>
      <c r="F1624" s="24"/>
      <c r="G1624" s="15" t="s">
        <v>693</v>
      </c>
      <c r="H1624" s="163">
        <v>60773719</v>
      </c>
      <c r="I1624" s="15">
        <v>595100</v>
      </c>
      <c r="J1624" s="2" t="s">
        <v>2</v>
      </c>
      <c r="K1624" s="27">
        <v>0</v>
      </c>
      <c r="L1624" s="4">
        <v>0</v>
      </c>
      <c r="M1624" s="4">
        <v>0</v>
      </c>
      <c r="N1624" s="4">
        <v>0</v>
      </c>
      <c r="O1624" s="4">
        <v>0</v>
      </c>
      <c r="P1624" s="4">
        <v>0</v>
      </c>
      <c r="Q1624" s="4">
        <v>0</v>
      </c>
      <c r="R1624" s="4">
        <v>0</v>
      </c>
      <c r="S1624" s="4">
        <v>0</v>
      </c>
      <c r="T1624" s="4">
        <v>0</v>
      </c>
      <c r="U1624" s="4">
        <v>0</v>
      </c>
      <c r="V1624" s="4">
        <v>0</v>
      </c>
      <c r="W1624" s="4">
        <v>0</v>
      </c>
      <c r="X1624" s="4">
        <v>0</v>
      </c>
      <c r="Y1624" s="4">
        <v>0</v>
      </c>
      <c r="Z1624" s="504">
        <v>0</v>
      </c>
      <c r="AA1624" s="543">
        <v>0</v>
      </c>
      <c r="AB1624" s="4">
        <v>0</v>
      </c>
      <c r="AC1624" s="4">
        <v>0</v>
      </c>
      <c r="AD1624" s="4">
        <v>0</v>
      </c>
      <c r="AE1624" s="4">
        <v>0</v>
      </c>
      <c r="AF1624" s="4">
        <v>0</v>
      </c>
      <c r="AG1624" s="4">
        <v>0</v>
      </c>
      <c r="AH1624" s="4">
        <v>0</v>
      </c>
      <c r="AI1624" s="4">
        <v>0</v>
      </c>
      <c r="AJ1624" s="4">
        <v>0</v>
      </c>
      <c r="AK1624" s="4">
        <v>0</v>
      </c>
      <c r="AL1624" s="4">
        <v>0</v>
      </c>
      <c r="AM1624" s="4">
        <v>0</v>
      </c>
      <c r="AN1624" s="4">
        <v>0</v>
      </c>
      <c r="AO1624" s="4">
        <v>0</v>
      </c>
      <c r="AP1624" s="4">
        <v>0</v>
      </c>
      <c r="AQ1624" s="4">
        <v>0</v>
      </c>
      <c r="AR1624" s="4">
        <v>0</v>
      </c>
      <c r="AS1624" s="4">
        <v>0</v>
      </c>
      <c r="AT1624" s="2" t="s">
        <v>11</v>
      </c>
    </row>
    <row r="1625" spans="1:46" s="2" customFormat="1" x14ac:dyDescent="0.25">
      <c r="A1625" s="400" t="s">
        <v>1125</v>
      </c>
      <c r="B1625" s="26"/>
      <c r="C1625" s="306"/>
      <c r="D1625" s="14"/>
      <c r="E1625" s="24"/>
      <c r="F1625" s="24" t="s">
        <v>406</v>
      </c>
      <c r="G1625" s="15" t="s">
        <v>722</v>
      </c>
      <c r="H1625" s="163">
        <v>60773719</v>
      </c>
      <c r="I1625" s="15">
        <v>595101</v>
      </c>
      <c r="J1625" s="17" t="s">
        <v>386</v>
      </c>
      <c r="K1625" s="28">
        <v>229897.98</v>
      </c>
      <c r="L1625" s="11">
        <v>0</v>
      </c>
      <c r="M1625" s="11">
        <v>0</v>
      </c>
      <c r="N1625" s="11">
        <v>0</v>
      </c>
      <c r="O1625" s="11">
        <v>0</v>
      </c>
      <c r="P1625" s="11">
        <f>8942.53+8562</f>
        <v>17504.53</v>
      </c>
      <c r="Q1625" s="11">
        <v>8221.64</v>
      </c>
      <c r="R1625" s="11">
        <f>7632.65+7632.65</f>
        <v>15265.3</v>
      </c>
      <c r="S1625" s="11">
        <f>7361.71+7361.71</f>
        <v>14723.42</v>
      </c>
      <c r="T1625" s="11">
        <f>7090.59+7090.59</f>
        <v>14181.18</v>
      </c>
      <c r="U1625" s="11">
        <f>6819.3+6819.3</f>
        <v>13638.6</v>
      </c>
      <c r="V1625" s="11">
        <f>6547.84+6547.84</f>
        <v>13095.68</v>
      </c>
      <c r="W1625" s="11">
        <f>6276.21+6276.21</f>
        <v>12552.42</v>
      </c>
      <c r="X1625" s="11">
        <f>6004.42+6004.42</f>
        <v>12008.84</v>
      </c>
      <c r="Y1625" s="565">
        <f>5732.48+5732.48+0.01</f>
        <v>11464.97</v>
      </c>
      <c r="Z1625" s="505">
        <f>5460.4+5460.4</f>
        <v>10920.8</v>
      </c>
      <c r="AA1625" s="544">
        <f>5188.18+5188.18</f>
        <v>10376.36</v>
      </c>
      <c r="AB1625" s="11">
        <f>4915.82+4915.82</f>
        <v>9831.64</v>
      </c>
      <c r="AC1625" s="11">
        <f>4643.34+4643.34</f>
        <v>9286.68</v>
      </c>
      <c r="AD1625" s="11">
        <f>4370.75+4370.75</f>
        <v>8741.5</v>
      </c>
      <c r="AE1625" s="11">
        <f>4098.04+4098.04</f>
        <v>8196.08</v>
      </c>
      <c r="AF1625" s="11">
        <f>3825.23+3825.23</f>
        <v>7650.46</v>
      </c>
      <c r="AG1625" s="11">
        <f>3552.33+3552.33</f>
        <v>7104.66</v>
      </c>
      <c r="AH1625" s="11">
        <f>3279.34+3279.34</f>
        <v>6558.68</v>
      </c>
      <c r="AI1625" s="11">
        <f>3006.27+3006.27</f>
        <v>6012.54</v>
      </c>
      <c r="AJ1625" s="11">
        <f>2733.14+2733.14</f>
        <v>5466.28</v>
      </c>
      <c r="AK1625" s="11">
        <f>2459.94+2459.94</f>
        <v>4919.88</v>
      </c>
      <c r="AL1625" s="11">
        <f>2186.69+2186.69</f>
        <v>4373.38</v>
      </c>
      <c r="AM1625" s="11">
        <f>1913.4+1913.4</f>
        <v>3826.8</v>
      </c>
      <c r="AN1625" s="11">
        <f>1640.07+1640.07</f>
        <v>3280.14</v>
      </c>
      <c r="AO1625" s="11">
        <f>1366.72+1366.72</f>
        <v>2733.44</v>
      </c>
      <c r="AP1625" s="11">
        <f>1093.36+1093.36</f>
        <v>2186.7199999999998</v>
      </c>
      <c r="AQ1625" s="11">
        <f>820+820</f>
        <v>1640</v>
      </c>
      <c r="AR1625" s="11">
        <f>546.64+546.64</f>
        <v>1093.28</v>
      </c>
      <c r="AS1625" s="11">
        <f>273.31+273.31</f>
        <v>546.62</v>
      </c>
      <c r="AT1625" s="136" t="s">
        <v>11</v>
      </c>
    </row>
    <row r="1626" spans="1:46" s="6" customFormat="1" ht="13.8" thickBot="1" x14ac:dyDescent="0.3">
      <c r="A1626" s="26"/>
      <c r="B1626" s="26"/>
      <c r="C1626" s="306"/>
      <c r="D1626" s="14"/>
      <c r="E1626" s="24"/>
      <c r="F1626" s="24"/>
      <c r="G1626" s="15" t="s">
        <v>845</v>
      </c>
      <c r="H1626" s="15">
        <v>595103</v>
      </c>
      <c r="I1626" s="15"/>
      <c r="J1626" s="41" t="s">
        <v>6</v>
      </c>
      <c r="K1626" s="42">
        <f>K1625+K1624+K1623</f>
        <v>10767765.220000001</v>
      </c>
      <c r="L1626" s="43">
        <f>L1625+L1624+L1623</f>
        <v>0</v>
      </c>
      <c r="M1626" s="43">
        <v>0</v>
      </c>
      <c r="N1626" s="43">
        <f t="shared" ref="N1626:AG1626" si="1412">N1625+N1624+N1623</f>
        <v>0</v>
      </c>
      <c r="O1626" s="43">
        <f t="shared" si="1412"/>
        <v>0</v>
      </c>
      <c r="P1626" s="43">
        <f t="shared" si="1412"/>
        <v>389819.53</v>
      </c>
      <c r="Q1626" s="43">
        <f t="shared" si="1412"/>
        <v>369222.07</v>
      </c>
      <c r="R1626" s="43">
        <f t="shared" si="1412"/>
        <v>376514.26999999996</v>
      </c>
      <c r="S1626" s="298">
        <f>S1625+S1624+S1623+0.01</f>
        <v>376214.82</v>
      </c>
      <c r="T1626" s="298">
        <f>T1625+T1624+T1623</f>
        <v>375906.67</v>
      </c>
      <c r="U1626" s="43">
        <f t="shared" si="1412"/>
        <v>375591.63</v>
      </c>
      <c r="V1626" s="298">
        <f>V1625+V1624+V1623-0.01</f>
        <v>375267.47</v>
      </c>
      <c r="W1626" s="298">
        <f>W1625+W1624+W1623-0.01</f>
        <v>374934.99</v>
      </c>
      <c r="X1626" s="43">
        <f t="shared" si="1412"/>
        <v>374592.95</v>
      </c>
      <c r="Y1626" s="298">
        <f>Y1625+Y1624+Y1623</f>
        <v>374243.13999999996</v>
      </c>
      <c r="Z1626" s="517">
        <f>Z1625+Z1624+Z1623-0.01</f>
        <v>373883.3</v>
      </c>
      <c r="AA1626" s="538">
        <f t="shared" si="1412"/>
        <v>373515.22</v>
      </c>
      <c r="AB1626" s="43">
        <f t="shared" si="1412"/>
        <v>373136.62</v>
      </c>
      <c r="AC1626" s="298">
        <f>AC1625+AC1624+AC1623+0.01</f>
        <v>372748.27</v>
      </c>
      <c r="AD1626" s="298">
        <f>AD1625+AD1624+AD1623-0.01</f>
        <v>372349.89999999997</v>
      </c>
      <c r="AE1626" s="43">
        <f t="shared" si="1412"/>
        <v>371941.25</v>
      </c>
      <c r="AF1626" s="298">
        <f>AF1625+AF1624+AF1623+0.01</f>
        <v>371521.04000000004</v>
      </c>
      <c r="AG1626" s="43">
        <f t="shared" si="1412"/>
        <v>371090.98</v>
      </c>
      <c r="AH1626" s="43">
        <f t="shared" ref="AH1626" si="1413">AH1625+AH1624+AH1623</f>
        <v>370648.8</v>
      </c>
      <c r="AI1626" s="298">
        <f>AI1625+AI1624+AI1623+0.01</f>
        <v>370195.20000000001</v>
      </c>
      <c r="AJ1626" s="298">
        <f>AJ1625+AJ1624+AJ1623-0.01</f>
        <v>369729.86000000004</v>
      </c>
      <c r="AK1626" s="298">
        <f>AK1625+AK1624+AK1623-0.01</f>
        <v>369252.49</v>
      </c>
      <c r="AL1626" s="43">
        <f t="shared" ref="AL1626:AR1626" si="1414">AL1625+AL1624+AL1623</f>
        <v>368762.76</v>
      </c>
      <c r="AM1626" s="298">
        <f>AM1625+AM1624+AM1623-0.01</f>
        <v>368260.33999999997</v>
      </c>
      <c r="AN1626" s="43">
        <f t="shared" si="1414"/>
        <v>367743.89</v>
      </c>
      <c r="AO1626" s="298">
        <f>AO1625+AO1624+AO1623+0.01</f>
        <v>367215.08</v>
      </c>
      <c r="AP1626" s="43">
        <f t="shared" si="1414"/>
        <v>366671.54</v>
      </c>
      <c r="AQ1626" s="43">
        <f t="shared" si="1414"/>
        <v>366113.92</v>
      </c>
      <c r="AR1626" s="43">
        <f t="shared" si="1414"/>
        <v>365541.83</v>
      </c>
      <c r="AS1626" s="298">
        <f>AS1625+AS1624+AS1623-0.01</f>
        <v>364954.89999999997</v>
      </c>
      <c r="AT1626" s="41" t="s">
        <v>11</v>
      </c>
    </row>
    <row r="1627" spans="1:46" s="6" customFormat="1" x14ac:dyDescent="0.25">
      <c r="A1627" s="26"/>
      <c r="B1627" s="26"/>
      <c r="C1627" s="306"/>
      <c r="D1627" s="14"/>
      <c r="E1627" s="24"/>
      <c r="F1627" s="24"/>
      <c r="G1627" s="148" t="s">
        <v>846</v>
      </c>
      <c r="H1627" s="15">
        <v>595102</v>
      </c>
      <c r="I1627" s="172"/>
      <c r="J1627" s="173" t="s">
        <v>404</v>
      </c>
      <c r="K1627" s="165"/>
      <c r="L1627" s="166">
        <v>0</v>
      </c>
      <c r="M1627" s="166">
        <v>0</v>
      </c>
      <c r="N1627" s="166">
        <v>0</v>
      </c>
      <c r="O1627" s="166">
        <f>O1626*0.765</f>
        <v>0</v>
      </c>
      <c r="P1627" s="166">
        <f>P1626*0.765</f>
        <v>298211.94045000005</v>
      </c>
      <c r="Q1627" s="166">
        <f t="shared" ref="Q1627" si="1415">Q1626*0.765</f>
        <v>282454.88355000003</v>
      </c>
      <c r="R1627" s="166">
        <f t="shared" ref="R1627" si="1416">R1626*0.765</f>
        <v>288033.41654999997</v>
      </c>
      <c r="S1627" s="166">
        <f t="shared" ref="S1627" si="1417">S1626*0.765</f>
        <v>287804.33730000001</v>
      </c>
      <c r="T1627" s="166">
        <f t="shared" ref="T1627" si="1418">T1626*0.765</f>
        <v>287568.60255000001</v>
      </c>
      <c r="U1627" s="166">
        <f t="shared" ref="U1627" si="1419">U1626*0.765</f>
        <v>287327.59695000004</v>
      </c>
      <c r="V1627" s="166">
        <f t="shared" ref="V1627" si="1420">V1626*0.765</f>
        <v>287079.61455</v>
      </c>
      <c r="W1627" s="166">
        <f t="shared" ref="W1627" si="1421">W1626*0.765</f>
        <v>286825.26734999998</v>
      </c>
      <c r="X1627" s="166">
        <f t="shared" ref="X1627" si="1422">X1626*0.765</f>
        <v>286563.60675000004</v>
      </c>
      <c r="Y1627" s="166">
        <f t="shared" ref="Y1627" si="1423">Y1626*0.765</f>
        <v>286296.00209999998</v>
      </c>
      <c r="Z1627" s="166">
        <f t="shared" ref="Z1627" si="1424">Z1626*0.765</f>
        <v>286020.72450000001</v>
      </c>
      <c r="AA1627" s="166">
        <f t="shared" ref="AA1627" si="1425">AA1626*0.765</f>
        <v>285739.1433</v>
      </c>
      <c r="AB1627" s="166">
        <f t="shared" ref="AB1627" si="1426">AB1626*0.765</f>
        <v>285449.51429999998</v>
      </c>
      <c r="AC1627" s="166">
        <f t="shared" ref="AC1627" si="1427">AC1626*0.765</f>
        <v>285152.42655000003</v>
      </c>
      <c r="AD1627" s="166">
        <f t="shared" ref="AD1627" si="1428">AD1626*0.765</f>
        <v>284847.67349999998</v>
      </c>
      <c r="AE1627" s="166">
        <f t="shared" ref="AE1627" si="1429">AE1626*0.765</f>
        <v>284535.05625000002</v>
      </c>
      <c r="AF1627" s="166">
        <f t="shared" ref="AF1627" si="1430">AF1626*0.765</f>
        <v>284213.59560000006</v>
      </c>
      <c r="AG1627" s="166">
        <f t="shared" ref="AG1627:AH1627" si="1431">AG1626*0.765</f>
        <v>283884.59969999996</v>
      </c>
      <c r="AH1627" s="166">
        <f t="shared" si="1431"/>
        <v>283546.33199999999</v>
      </c>
      <c r="AI1627" s="166">
        <f t="shared" ref="AI1627:AS1627" si="1432">AI1626*0.765</f>
        <v>283199.32800000004</v>
      </c>
      <c r="AJ1627" s="166">
        <f t="shared" si="1432"/>
        <v>282843.34290000005</v>
      </c>
      <c r="AK1627" s="166">
        <f t="shared" si="1432"/>
        <v>282478.15484999999</v>
      </c>
      <c r="AL1627" s="166">
        <f t="shared" si="1432"/>
        <v>282103.51140000002</v>
      </c>
      <c r="AM1627" s="166">
        <f t="shared" si="1432"/>
        <v>281719.16009999998</v>
      </c>
      <c r="AN1627" s="166">
        <f t="shared" si="1432"/>
        <v>281324.07585000002</v>
      </c>
      <c r="AO1627" s="166">
        <f t="shared" si="1432"/>
        <v>280919.53620000003</v>
      </c>
      <c r="AP1627" s="166">
        <f t="shared" si="1432"/>
        <v>280503.72810000001</v>
      </c>
      <c r="AQ1627" s="166">
        <f t="shared" si="1432"/>
        <v>280077.14879999997</v>
      </c>
      <c r="AR1627" s="166">
        <f t="shared" si="1432"/>
        <v>279639.49995000003</v>
      </c>
      <c r="AS1627" s="166">
        <f t="shared" si="1432"/>
        <v>279190.49849999999</v>
      </c>
      <c r="AT1627" s="167" t="s">
        <v>11</v>
      </c>
    </row>
    <row r="1628" spans="1:46" s="6" customFormat="1" ht="13.8" thickBot="1" x14ac:dyDescent="0.3">
      <c r="A1628" s="327" t="s">
        <v>621</v>
      </c>
      <c r="B1628" s="328"/>
      <c r="C1628" s="329"/>
      <c r="D1628" s="87"/>
      <c r="E1628" s="88"/>
      <c r="F1628" s="88"/>
      <c r="G1628" s="126" t="s">
        <v>403</v>
      </c>
      <c r="H1628" s="126"/>
      <c r="I1628" s="171"/>
      <c r="J1628" s="168" t="s">
        <v>401</v>
      </c>
      <c r="K1628" s="169"/>
      <c r="L1628" s="170">
        <v>0</v>
      </c>
      <c r="M1628" s="170">
        <v>0</v>
      </c>
      <c r="N1628" s="170">
        <v>0</v>
      </c>
      <c r="O1628" s="170">
        <f t="shared" ref="O1628:P1628" si="1433">O1626*0.235</f>
        <v>0</v>
      </c>
      <c r="P1628" s="170">
        <f t="shared" si="1433"/>
        <v>91607.589550000004</v>
      </c>
      <c r="Q1628" s="170">
        <f t="shared" ref="Q1628:AG1628" si="1434">Q1626*0.235</f>
        <v>86767.186449999994</v>
      </c>
      <c r="R1628" s="170">
        <f t="shared" si="1434"/>
        <v>88480.853449999981</v>
      </c>
      <c r="S1628" s="170">
        <f t="shared" si="1434"/>
        <v>88410.482699999993</v>
      </c>
      <c r="T1628" s="170">
        <f t="shared" si="1434"/>
        <v>88338.067449999988</v>
      </c>
      <c r="U1628" s="170">
        <f t="shared" si="1434"/>
        <v>88264.033049999998</v>
      </c>
      <c r="V1628" s="170">
        <f t="shared" si="1434"/>
        <v>88187.855449999988</v>
      </c>
      <c r="W1628" s="170">
        <f t="shared" si="1434"/>
        <v>88109.722649999996</v>
      </c>
      <c r="X1628" s="170">
        <f t="shared" si="1434"/>
        <v>88029.343249999991</v>
      </c>
      <c r="Y1628" s="170">
        <f t="shared" si="1434"/>
        <v>87947.137899999987</v>
      </c>
      <c r="Z1628" s="170">
        <f t="shared" si="1434"/>
        <v>87862.575499999992</v>
      </c>
      <c r="AA1628" s="170">
        <f t="shared" si="1434"/>
        <v>87776.076699999991</v>
      </c>
      <c r="AB1628" s="170">
        <f t="shared" si="1434"/>
        <v>87687.1057</v>
      </c>
      <c r="AC1628" s="170">
        <f t="shared" si="1434"/>
        <v>87595.84345</v>
      </c>
      <c r="AD1628" s="170">
        <f t="shared" si="1434"/>
        <v>87502.22649999999</v>
      </c>
      <c r="AE1628" s="170">
        <f t="shared" si="1434"/>
        <v>87406.193749999991</v>
      </c>
      <c r="AF1628" s="170">
        <f t="shared" si="1434"/>
        <v>87307.444400000008</v>
      </c>
      <c r="AG1628" s="170">
        <f t="shared" si="1434"/>
        <v>87206.38029999999</v>
      </c>
      <c r="AH1628" s="170">
        <f t="shared" ref="AH1628:AI1628" si="1435">AH1626*0.235</f>
        <v>87102.467999999993</v>
      </c>
      <c r="AI1628" s="170">
        <f t="shared" si="1435"/>
        <v>86995.872000000003</v>
      </c>
      <c r="AJ1628" s="170">
        <f t="shared" ref="AJ1628:AS1628" si="1436">AJ1626*0.235</f>
        <v>86886.517100000012</v>
      </c>
      <c r="AK1628" s="170">
        <f t="shared" si="1436"/>
        <v>86774.335149999999</v>
      </c>
      <c r="AL1628" s="170">
        <f t="shared" si="1436"/>
        <v>86659.248599999992</v>
      </c>
      <c r="AM1628" s="170">
        <f t="shared" si="1436"/>
        <v>86541.179899999988</v>
      </c>
      <c r="AN1628" s="170">
        <f t="shared" si="1436"/>
        <v>86419.814150000006</v>
      </c>
      <c r="AO1628" s="170">
        <f t="shared" si="1436"/>
        <v>86295.543799999999</v>
      </c>
      <c r="AP1628" s="170">
        <f t="shared" si="1436"/>
        <v>86167.811899999986</v>
      </c>
      <c r="AQ1628" s="170">
        <f t="shared" si="1436"/>
        <v>86036.771199999988</v>
      </c>
      <c r="AR1628" s="170">
        <f t="shared" si="1436"/>
        <v>85902.330050000004</v>
      </c>
      <c r="AS1628" s="170">
        <f t="shared" si="1436"/>
        <v>85764.401499999993</v>
      </c>
      <c r="AT1628" s="171" t="s">
        <v>11</v>
      </c>
    </row>
    <row r="1629" spans="1:46" s="2" customFormat="1" x14ac:dyDescent="0.25">
      <c r="A1629" s="119"/>
      <c r="B1629" s="119"/>
      <c r="C1629" s="308"/>
      <c r="D1629" s="49"/>
      <c r="E1629" s="49"/>
      <c r="F1629" s="49"/>
      <c r="G1629" s="128" t="s">
        <v>1301</v>
      </c>
      <c r="H1629" s="128"/>
      <c r="I1629" s="128"/>
      <c r="J1629" s="48"/>
      <c r="K1629" s="161"/>
      <c r="L1629" s="48"/>
      <c r="M1629" s="48"/>
      <c r="N1629" s="48"/>
      <c r="O1629" s="48"/>
      <c r="P1629" s="162"/>
      <c r="Q1629" s="162"/>
      <c r="R1629" s="162"/>
      <c r="S1629" s="162"/>
      <c r="T1629" s="162"/>
      <c r="U1629" s="48"/>
      <c r="V1629" s="48"/>
      <c r="W1629" s="48"/>
      <c r="X1629" s="48"/>
      <c r="Y1629" s="48"/>
      <c r="Z1629" s="48"/>
      <c r="AA1629" s="48"/>
      <c r="AB1629" s="48"/>
      <c r="AC1629" s="48"/>
      <c r="AD1629" s="48"/>
      <c r="AE1629" s="48"/>
      <c r="AF1629" s="48"/>
      <c r="AG1629" s="48"/>
      <c r="AH1629" s="48"/>
      <c r="AI1629" s="48"/>
      <c r="AJ1629" s="48"/>
      <c r="AK1629" s="48"/>
      <c r="AL1629" s="48"/>
      <c r="AM1629" s="48"/>
      <c r="AN1629" s="48"/>
      <c r="AO1629" s="48"/>
      <c r="AP1629" s="48"/>
      <c r="AQ1629" s="48"/>
      <c r="AR1629" s="48"/>
      <c r="AS1629" s="48"/>
      <c r="AT1629" s="48"/>
    </row>
    <row r="1630" spans="1:46" s="2" customFormat="1" x14ac:dyDescent="0.25">
      <c r="A1630" s="26" t="s">
        <v>4</v>
      </c>
      <c r="B1630" s="26"/>
      <c r="C1630" s="306"/>
      <c r="D1630" s="10" t="s">
        <v>4</v>
      </c>
      <c r="E1630" s="25">
        <v>45251</v>
      </c>
      <c r="F1630" s="25" t="s">
        <v>267</v>
      </c>
      <c r="G1630" s="316" t="s">
        <v>1302</v>
      </c>
      <c r="H1630" s="483">
        <v>61774819</v>
      </c>
      <c r="I1630" s="316">
        <v>591100</v>
      </c>
      <c r="J1630" s="2" t="s">
        <v>1</v>
      </c>
      <c r="K1630" s="27">
        <v>3106417</v>
      </c>
      <c r="L1630" s="4">
        <v>11883.1</v>
      </c>
      <c r="M1630" s="4">
        <v>11397.61</v>
      </c>
      <c r="N1630" s="4">
        <v>11113.67</v>
      </c>
      <c r="O1630" s="4">
        <v>11018.65</v>
      </c>
      <c r="P1630" s="283">
        <v>10726.7</v>
      </c>
      <c r="Q1630" s="283">
        <v>15405.34</v>
      </c>
      <c r="R1630" s="283">
        <v>14963.37</v>
      </c>
      <c r="S1630" s="283">
        <v>14464.07</v>
      </c>
      <c r="T1630" s="283">
        <v>14045.55</v>
      </c>
      <c r="U1630" s="283">
        <v>13356.5</v>
      </c>
      <c r="V1630" s="2" t="s">
        <v>11</v>
      </c>
      <c r="Y1630" s="4">
        <v>153117</v>
      </c>
      <c r="Z1630" s="504">
        <v>153347</v>
      </c>
      <c r="AA1630" s="543">
        <v>153577</v>
      </c>
      <c r="AB1630" s="4">
        <v>153808</v>
      </c>
      <c r="AC1630" s="4">
        <v>154039</v>
      </c>
      <c r="AD1630" s="4">
        <v>154270</v>
      </c>
      <c r="AE1630" s="4">
        <v>154502</v>
      </c>
      <c r="AF1630" s="4">
        <v>154734</v>
      </c>
      <c r="AG1630" s="4">
        <v>154966</v>
      </c>
      <c r="AH1630" s="4">
        <v>155199</v>
      </c>
      <c r="AI1630" s="4">
        <v>155432</v>
      </c>
      <c r="AJ1630" s="4">
        <v>155665</v>
      </c>
      <c r="AK1630" s="4">
        <v>155898</v>
      </c>
      <c r="AL1630" s="4">
        <v>156133</v>
      </c>
      <c r="AM1630" s="4">
        <v>156367</v>
      </c>
      <c r="AN1630" s="4">
        <v>156602</v>
      </c>
      <c r="AO1630" s="4">
        <v>156837</v>
      </c>
      <c r="AP1630" s="4">
        <v>157072</v>
      </c>
      <c r="AQ1630" s="4">
        <v>157308</v>
      </c>
      <c r="AR1630" s="4">
        <v>157544</v>
      </c>
      <c r="AS1630" s="2" t="s">
        <v>11</v>
      </c>
    </row>
    <row r="1631" spans="1:46" s="2" customFormat="1" x14ac:dyDescent="0.25">
      <c r="A1631" s="400" t="s">
        <v>1222</v>
      </c>
      <c r="B1631" s="26"/>
      <c r="C1631" s="306"/>
      <c r="D1631" s="10"/>
      <c r="E1631" s="317" t="s">
        <v>13</v>
      </c>
      <c r="F1631" s="25"/>
      <c r="G1631" s="12" t="s">
        <v>1159</v>
      </c>
      <c r="H1631" s="159">
        <v>61774819</v>
      </c>
      <c r="I1631" s="12">
        <v>595100</v>
      </c>
      <c r="J1631" s="2" t="s">
        <v>2</v>
      </c>
      <c r="K1631" s="27">
        <v>0</v>
      </c>
      <c r="L1631" s="4">
        <v>2583.23</v>
      </c>
      <c r="M1631" s="4">
        <v>2328.41</v>
      </c>
      <c r="N1631" s="4">
        <v>2073.58</v>
      </c>
      <c r="O1631" s="4">
        <v>1818.75</v>
      </c>
      <c r="P1631" s="366">
        <v>1563.92</v>
      </c>
      <c r="Q1631" s="366">
        <v>1309.0899999999999</v>
      </c>
      <c r="R1631" s="366">
        <v>969.32</v>
      </c>
      <c r="S1631" s="366">
        <v>629.54999999999995</v>
      </c>
      <c r="T1631" s="366">
        <v>314.77</v>
      </c>
      <c r="U1631" s="366">
        <v>0</v>
      </c>
      <c r="V1631" s="2" t="s">
        <v>11</v>
      </c>
      <c r="Y1631" s="4">
        <v>0</v>
      </c>
      <c r="Z1631" s="504">
        <v>0</v>
      </c>
      <c r="AA1631" s="543">
        <v>0</v>
      </c>
      <c r="AB1631" s="4">
        <v>0</v>
      </c>
      <c r="AC1631" s="4">
        <v>0</v>
      </c>
      <c r="AD1631" s="4">
        <v>0</v>
      </c>
      <c r="AE1631" s="4">
        <v>0</v>
      </c>
      <c r="AF1631" s="4">
        <v>0</v>
      </c>
      <c r="AG1631" s="4">
        <v>0</v>
      </c>
      <c r="AH1631" s="4">
        <v>0</v>
      </c>
      <c r="AI1631" s="4">
        <v>0</v>
      </c>
      <c r="AJ1631" s="4">
        <v>0</v>
      </c>
      <c r="AK1631" s="4">
        <v>0</v>
      </c>
      <c r="AL1631" s="4">
        <v>0</v>
      </c>
      <c r="AM1631" s="4">
        <v>0</v>
      </c>
      <c r="AN1631" s="4">
        <v>0</v>
      </c>
      <c r="AO1631" s="4">
        <v>0</v>
      </c>
      <c r="AP1631" s="4">
        <v>0</v>
      </c>
      <c r="AQ1631" s="4">
        <v>0</v>
      </c>
      <c r="AR1631" s="4">
        <v>0</v>
      </c>
      <c r="AS1631" s="2" t="s">
        <v>11</v>
      </c>
    </row>
    <row r="1632" spans="1:46" s="2" customFormat="1" x14ac:dyDescent="0.25">
      <c r="A1632" s="480" t="s">
        <v>1125</v>
      </c>
      <c r="B1632" s="26"/>
      <c r="C1632" s="306"/>
      <c r="D1632" s="10"/>
      <c r="E1632" s="25"/>
      <c r="F1632" s="25" t="s">
        <v>407</v>
      </c>
      <c r="G1632" s="481" t="s">
        <v>1305</v>
      </c>
      <c r="H1632" s="159">
        <v>61774819</v>
      </c>
      <c r="I1632" s="12">
        <v>595101</v>
      </c>
      <c r="J1632" s="17" t="s">
        <v>386</v>
      </c>
      <c r="K1632" s="28">
        <v>49857.43</v>
      </c>
      <c r="L1632" s="11">
        <v>262.5</v>
      </c>
      <c r="M1632" s="11">
        <v>240</v>
      </c>
      <c r="N1632" s="300">
        <f>108.75+102.08</f>
        <v>210.82999999999998</v>
      </c>
      <c r="O1632" s="11">
        <f>97.5+97.5</f>
        <v>195</v>
      </c>
      <c r="P1632" s="142">
        <f>86.25+86.25</f>
        <v>172.5</v>
      </c>
      <c r="Q1632" s="142">
        <f>75+75</f>
        <v>150</v>
      </c>
      <c r="R1632" s="142">
        <f>60+60</f>
        <v>120</v>
      </c>
      <c r="S1632" s="142">
        <f>45+45</f>
        <v>90</v>
      </c>
      <c r="T1632" s="142">
        <f>30+30</f>
        <v>60</v>
      </c>
      <c r="U1632" s="142">
        <f>15+15</f>
        <v>30</v>
      </c>
      <c r="V1632" s="368" t="s">
        <v>11</v>
      </c>
      <c r="W1632" s="17"/>
      <c r="X1632" s="17"/>
      <c r="Y1632" s="11">
        <f>3028.76+2329.81</f>
        <v>5358.57</v>
      </c>
      <c r="Z1632" s="505">
        <f>2214.98+2214.98</f>
        <v>4429.96</v>
      </c>
      <c r="AA1632" s="544">
        <f>2099.96+2099.96</f>
        <v>4199.92</v>
      </c>
      <c r="AB1632" s="11">
        <f>1984.78+1984.78</f>
        <v>3969.56</v>
      </c>
      <c r="AC1632" s="11">
        <f>1869.43+1869.43</f>
        <v>3738.86</v>
      </c>
      <c r="AD1632" s="11">
        <f>1753.9+1753.9</f>
        <v>3507.8</v>
      </c>
      <c r="AE1632" s="11">
        <f>1638.19+1638.19</f>
        <v>3276.38</v>
      </c>
      <c r="AF1632" s="11">
        <f>1522.32+1522.32</f>
        <v>3044.64</v>
      </c>
      <c r="AG1632" s="11">
        <f>1406.27+1406.27</f>
        <v>2812.54</v>
      </c>
      <c r="AH1632" s="11">
        <f>1290.04+1290.04</f>
        <v>2580.08</v>
      </c>
      <c r="AI1632" s="11">
        <f>1173.64+1173.64</f>
        <v>2347.2800000000002</v>
      </c>
      <c r="AJ1632" s="11">
        <f>1057.07+1057.07</f>
        <v>2114.14</v>
      </c>
      <c r="AK1632" s="11">
        <f>940.32+940.32</f>
        <v>1880.64</v>
      </c>
      <c r="AL1632" s="11">
        <f>823.4+823.4</f>
        <v>1646.8</v>
      </c>
      <c r="AM1632" s="11">
        <f>706.3+706.3</f>
        <v>1412.6</v>
      </c>
      <c r="AN1632" s="11">
        <f>589.02+589.02</f>
        <v>1178.04</v>
      </c>
      <c r="AO1632" s="11">
        <f>471.57+471.57</f>
        <v>943.14</v>
      </c>
      <c r="AP1632" s="11">
        <f>353.94+353.94</f>
        <v>707.88</v>
      </c>
      <c r="AQ1632" s="11">
        <f>236.14+236.14</f>
        <v>472.28</v>
      </c>
      <c r="AR1632" s="11">
        <f>118.16+118.16</f>
        <v>236.32</v>
      </c>
      <c r="AS1632" s="136" t="s">
        <v>11</v>
      </c>
      <c r="AT1632" s="17"/>
    </row>
    <row r="1633" spans="1:46" s="6" customFormat="1" ht="13.8" thickBot="1" x14ac:dyDescent="0.3">
      <c r="A1633" s="120"/>
      <c r="B1633" s="120"/>
      <c r="C1633" s="307"/>
      <c r="D1633" s="91"/>
      <c r="E1633" s="90"/>
      <c r="F1633" s="90"/>
      <c r="G1633" s="124" t="s">
        <v>1303</v>
      </c>
      <c r="H1633" s="124"/>
      <c r="I1633" s="124"/>
      <c r="J1633" s="41" t="s">
        <v>5</v>
      </c>
      <c r="K1633" s="484">
        <f>K1632+K1631+K1630+0.01</f>
        <v>3156274.44</v>
      </c>
      <c r="L1633" s="43">
        <f>L1632+L1631+L1630</f>
        <v>14728.83</v>
      </c>
      <c r="M1633" s="43">
        <f>M1632+M1631+M1630</f>
        <v>13966.02</v>
      </c>
      <c r="N1633" s="43">
        <f t="shared" ref="N1633:U1633" si="1437">N1632+N1631+N1630</f>
        <v>13398.08</v>
      </c>
      <c r="O1633" s="43">
        <f t="shared" si="1437"/>
        <v>13032.4</v>
      </c>
      <c r="P1633" s="43">
        <f t="shared" si="1437"/>
        <v>12463.12</v>
      </c>
      <c r="Q1633" s="43">
        <f t="shared" si="1437"/>
        <v>16864.43</v>
      </c>
      <c r="R1633" s="43">
        <f t="shared" si="1437"/>
        <v>16052.69</v>
      </c>
      <c r="S1633" s="43">
        <f t="shared" si="1437"/>
        <v>15183.619999999999</v>
      </c>
      <c r="T1633" s="43">
        <f t="shared" si="1437"/>
        <v>14420.32</v>
      </c>
      <c r="U1633" s="43">
        <f t="shared" si="1437"/>
        <v>13386.5</v>
      </c>
      <c r="V1633" s="41" t="s">
        <v>11</v>
      </c>
      <c r="W1633" s="43"/>
      <c r="X1633" s="43"/>
      <c r="Y1633" s="43">
        <f t="shared" ref="Y1633:Z1633" si="1438">Y1632+Y1631+Y1630</f>
        <v>158475.57</v>
      </c>
      <c r="Z1633" s="499">
        <f t="shared" si="1438"/>
        <v>157776.95999999999</v>
      </c>
      <c r="AA1633" s="560">
        <f>AA1632+AA1631+AA1630+0.01</f>
        <v>157776.93000000002</v>
      </c>
      <c r="AB1633" s="43">
        <f t="shared" ref="AB1633" si="1439">AB1632+AB1631+AB1630</f>
        <v>157777.56</v>
      </c>
      <c r="AC1633" s="298">
        <f>AC1632+AC1631+AC1630-0.01</f>
        <v>157777.84999999998</v>
      </c>
      <c r="AD1633" s="298">
        <f>AD1632+AD1631+AD1630-0.01</f>
        <v>157777.78999999998</v>
      </c>
      <c r="AE1633" s="298">
        <f>AE1632+AE1631+AE1630+0.01</f>
        <v>157778.39000000001</v>
      </c>
      <c r="AF1633" s="43">
        <f t="shared" ref="AF1633" si="1440">AF1632+AF1631+AF1630</f>
        <v>157778.64000000001</v>
      </c>
      <c r="AG1633" s="298">
        <f>AG1632+AG1631+AG1630-0.01</f>
        <v>157778.53</v>
      </c>
      <c r="AH1633" s="298">
        <f>AH1632+AH1631+AH1630+0.01</f>
        <v>157779.09</v>
      </c>
      <c r="AI1633" s="298">
        <f>AI1632+AI1631+AI1630+0.01</f>
        <v>157779.29</v>
      </c>
      <c r="AJ1633" s="43">
        <f t="shared" ref="AJ1633:AK1633" si="1441">AJ1632+AJ1631+AJ1630</f>
        <v>157779.14000000001</v>
      </c>
      <c r="AK1633" s="43">
        <f t="shared" si="1441"/>
        <v>157778.64000000001</v>
      </c>
      <c r="AL1633" s="298">
        <f>AL1632+AL1631+AL1630-0.01</f>
        <v>157779.78999999998</v>
      </c>
      <c r="AM1633" s="43">
        <f t="shared" ref="AM1633:AO1633" si="1442">AM1632+AM1631+AM1630</f>
        <v>157779.6</v>
      </c>
      <c r="AN1633" s="43">
        <f t="shared" si="1442"/>
        <v>157780.04</v>
      </c>
      <c r="AO1633" s="43">
        <f t="shared" si="1442"/>
        <v>157780.14000000001</v>
      </c>
      <c r="AP1633" s="298">
        <f>AP1632+AP1631+AP1630+0.01</f>
        <v>157779.89000000001</v>
      </c>
      <c r="AQ1633" s="43">
        <f t="shared" ref="AQ1633:AR1633" si="1443">AQ1632+AQ1631+AQ1630</f>
        <v>157780.28</v>
      </c>
      <c r="AR1633" s="43">
        <f t="shared" si="1443"/>
        <v>157780.32</v>
      </c>
      <c r="AS1633" s="41" t="s">
        <v>11</v>
      </c>
      <c r="AT1633" s="41"/>
    </row>
    <row r="1634" spans="1:46" s="2" customFormat="1" x14ac:dyDescent="0.25">
      <c r="A1634" s="119"/>
      <c r="B1634" s="119"/>
      <c r="C1634" s="308"/>
      <c r="D1634" s="49"/>
      <c r="E1634" s="49"/>
      <c r="F1634" s="49"/>
      <c r="G1634" s="128" t="s">
        <v>1348</v>
      </c>
      <c r="H1634" s="128"/>
      <c r="I1634" s="128"/>
      <c r="J1634" s="48"/>
      <c r="K1634" s="161"/>
      <c r="L1634" s="48"/>
      <c r="M1634" s="48"/>
      <c r="N1634" s="48"/>
      <c r="O1634" s="48"/>
      <c r="P1634" s="162"/>
      <c r="Q1634" s="162"/>
      <c r="R1634" s="162"/>
      <c r="S1634" s="162"/>
      <c r="T1634" s="162"/>
      <c r="U1634" s="48"/>
      <c r="V1634" s="48"/>
      <c r="W1634" s="48"/>
      <c r="X1634" s="48"/>
      <c r="Y1634" s="48"/>
      <c r="Z1634" s="48"/>
      <c r="AA1634" s="48"/>
      <c r="AB1634" s="48"/>
      <c r="AC1634" s="48"/>
      <c r="AD1634" s="48"/>
      <c r="AE1634" s="48"/>
      <c r="AF1634" s="48"/>
      <c r="AG1634" s="48"/>
      <c r="AH1634" s="48"/>
      <c r="AI1634" s="48"/>
      <c r="AJ1634" s="48"/>
      <c r="AK1634" s="48"/>
      <c r="AL1634" s="48"/>
      <c r="AM1634" s="48"/>
      <c r="AN1634" s="48"/>
      <c r="AO1634" s="48"/>
      <c r="AP1634" s="48"/>
      <c r="AQ1634" s="48"/>
      <c r="AR1634" s="48"/>
      <c r="AS1634" s="48"/>
      <c r="AT1634" s="48"/>
    </row>
    <row r="1635" spans="1:46" s="2" customFormat="1" x14ac:dyDescent="0.25">
      <c r="A1635" s="26" t="s">
        <v>4</v>
      </c>
      <c r="B1635" s="26"/>
      <c r="C1635" s="306"/>
      <c r="D1635" s="10" t="s">
        <v>4</v>
      </c>
      <c r="E1635" s="25">
        <v>45108</v>
      </c>
      <c r="F1635" s="25" t="s">
        <v>267</v>
      </c>
      <c r="G1635" s="316" t="s">
        <v>1367</v>
      </c>
      <c r="H1635" s="483">
        <v>61775019</v>
      </c>
      <c r="I1635" s="316">
        <v>591100</v>
      </c>
      <c r="J1635" s="2" t="s">
        <v>1</v>
      </c>
      <c r="K1635" s="27">
        <v>3549099</v>
      </c>
      <c r="L1635" s="4">
        <v>11883.1</v>
      </c>
      <c r="M1635" s="4">
        <v>11397.61</v>
      </c>
      <c r="N1635" s="4">
        <v>11113.67</v>
      </c>
      <c r="O1635" s="4">
        <v>11018.65</v>
      </c>
      <c r="P1635" s="283">
        <v>10726.7</v>
      </c>
      <c r="Q1635" s="283">
        <v>15405.34</v>
      </c>
      <c r="R1635" s="283">
        <v>14963.37</v>
      </c>
      <c r="S1635" s="283">
        <v>14464.07</v>
      </c>
      <c r="T1635" s="283">
        <v>14045.55</v>
      </c>
      <c r="U1635" s="283">
        <v>13356.5</v>
      </c>
      <c r="V1635" s="2" t="s">
        <v>11</v>
      </c>
      <c r="Y1635" s="4">
        <v>0</v>
      </c>
      <c r="Z1635" s="504">
        <v>174938</v>
      </c>
      <c r="AA1635" s="543">
        <v>175200</v>
      </c>
      <c r="AB1635" s="4">
        <v>175463</v>
      </c>
      <c r="AC1635" s="4">
        <v>175727</v>
      </c>
      <c r="AD1635" s="4">
        <v>175990</v>
      </c>
      <c r="AE1635" s="4">
        <v>176255</v>
      </c>
      <c r="AF1635" s="4">
        <v>176519</v>
      </c>
      <c r="AG1635" s="4">
        <v>176784</v>
      </c>
      <c r="AH1635" s="4">
        <v>177050</v>
      </c>
      <c r="AI1635" s="4">
        <v>177315</v>
      </c>
      <c r="AJ1635" s="4">
        <v>177582</v>
      </c>
      <c r="AK1635" s="4">
        <v>177848</v>
      </c>
      <c r="AL1635" s="4">
        <v>178115</v>
      </c>
      <c r="AM1635" s="4">
        <v>178382</v>
      </c>
      <c r="AN1635" s="4">
        <v>178650</v>
      </c>
      <c r="AO1635" s="4">
        <v>178918</v>
      </c>
      <c r="AP1635" s="4">
        <v>179187</v>
      </c>
      <c r="AQ1635" s="4">
        <v>179456</v>
      </c>
      <c r="AR1635" s="4">
        <v>179725</v>
      </c>
      <c r="AS1635" s="4">
        <v>179995</v>
      </c>
      <c r="AT1635" s="2" t="s">
        <v>11</v>
      </c>
    </row>
    <row r="1636" spans="1:46" s="2" customFormat="1" x14ac:dyDescent="0.25">
      <c r="A1636" s="400" t="s">
        <v>1365</v>
      </c>
      <c r="B1636" s="26"/>
      <c r="C1636" s="306"/>
      <c r="D1636" s="10"/>
      <c r="E1636" s="317" t="s">
        <v>13</v>
      </c>
      <c r="F1636" s="25"/>
      <c r="G1636" s="12" t="s">
        <v>1349</v>
      </c>
      <c r="H1636" s="159">
        <v>61775019</v>
      </c>
      <c r="I1636" s="12">
        <v>595100</v>
      </c>
      <c r="J1636" s="2" t="s">
        <v>2</v>
      </c>
      <c r="K1636" s="27">
        <v>0</v>
      </c>
      <c r="L1636" s="4">
        <v>2583.23</v>
      </c>
      <c r="M1636" s="4">
        <v>2328.41</v>
      </c>
      <c r="N1636" s="4">
        <v>2073.58</v>
      </c>
      <c r="O1636" s="4">
        <v>1818.75</v>
      </c>
      <c r="P1636" s="366">
        <v>1563.92</v>
      </c>
      <c r="Q1636" s="366">
        <v>1309.0899999999999</v>
      </c>
      <c r="R1636" s="366">
        <v>969.32</v>
      </c>
      <c r="S1636" s="366">
        <v>629.54999999999995</v>
      </c>
      <c r="T1636" s="366">
        <v>314.77</v>
      </c>
      <c r="U1636" s="366">
        <v>0</v>
      </c>
      <c r="V1636" s="2" t="s">
        <v>11</v>
      </c>
      <c r="Y1636" s="4">
        <v>0</v>
      </c>
      <c r="Z1636" s="504">
        <v>0</v>
      </c>
      <c r="AA1636" s="543">
        <v>0</v>
      </c>
      <c r="AB1636" s="4">
        <v>0</v>
      </c>
      <c r="AC1636" s="4">
        <v>0</v>
      </c>
      <c r="AD1636" s="4">
        <v>0</v>
      </c>
      <c r="AE1636" s="4">
        <v>0</v>
      </c>
      <c r="AF1636" s="4">
        <v>0</v>
      </c>
      <c r="AG1636" s="4">
        <v>0</v>
      </c>
      <c r="AH1636" s="4">
        <v>0</v>
      </c>
      <c r="AI1636" s="4">
        <v>0</v>
      </c>
      <c r="AJ1636" s="4">
        <v>0</v>
      </c>
      <c r="AK1636" s="4">
        <v>0</v>
      </c>
      <c r="AL1636" s="4">
        <v>0</v>
      </c>
      <c r="AM1636" s="4">
        <v>0</v>
      </c>
      <c r="AN1636" s="4">
        <v>0</v>
      </c>
      <c r="AO1636" s="4">
        <v>0</v>
      </c>
      <c r="AP1636" s="4">
        <v>0</v>
      </c>
      <c r="AQ1636" s="4">
        <v>0</v>
      </c>
      <c r="AR1636" s="4">
        <v>0</v>
      </c>
      <c r="AS1636" s="4">
        <v>0</v>
      </c>
      <c r="AT1636" s="2" t="s">
        <v>11</v>
      </c>
    </row>
    <row r="1637" spans="1:46" s="2" customFormat="1" x14ac:dyDescent="0.25">
      <c r="A1637" s="480" t="s">
        <v>1125</v>
      </c>
      <c r="B1637" s="26"/>
      <c r="C1637" s="306"/>
      <c r="D1637" s="10"/>
      <c r="E1637" s="25"/>
      <c r="F1637" s="25" t="s">
        <v>407</v>
      </c>
      <c r="G1637" s="481" t="s">
        <v>1366</v>
      </c>
      <c r="H1637" s="159">
        <v>61775019</v>
      </c>
      <c r="I1637" s="12">
        <v>595101</v>
      </c>
      <c r="J1637" s="17" t="s">
        <v>386</v>
      </c>
      <c r="K1637" s="530">
        <v>55853.27</v>
      </c>
      <c r="L1637" s="11">
        <v>262.5</v>
      </c>
      <c r="M1637" s="11">
        <v>240</v>
      </c>
      <c r="N1637" s="300">
        <f>108.75+102.08</f>
        <v>210.82999999999998</v>
      </c>
      <c r="O1637" s="11">
        <f>97.5+97.5</f>
        <v>195</v>
      </c>
      <c r="P1637" s="142">
        <f>86.25+86.25</f>
        <v>172.5</v>
      </c>
      <c r="Q1637" s="142">
        <f>75+75</f>
        <v>150</v>
      </c>
      <c r="R1637" s="142">
        <f>60+60</f>
        <v>120</v>
      </c>
      <c r="S1637" s="142">
        <f>45+45</f>
        <v>90</v>
      </c>
      <c r="T1637" s="142">
        <f>30+30</f>
        <v>60</v>
      </c>
      <c r="U1637" s="142">
        <f>15+15</f>
        <v>30</v>
      </c>
      <c r="V1637" s="368" t="s">
        <v>11</v>
      </c>
      <c r="W1637" s="17"/>
      <c r="X1637" s="17"/>
      <c r="Y1637" s="11">
        <v>0</v>
      </c>
      <c r="Z1637" s="505">
        <f>2351.28+2661.82</f>
        <v>5013.1000000000004</v>
      </c>
      <c r="AA1637" s="544">
        <f>2530.62+2530.62</f>
        <v>5061.24</v>
      </c>
      <c r="AB1637" s="11">
        <f>2399.22+2399.22</f>
        <v>4798.4399999999996</v>
      </c>
      <c r="AC1637" s="11">
        <f>2267.62+2267.62</f>
        <v>4535.24</v>
      </c>
      <c r="AD1637" s="11">
        <f>2135.83+2135.83</f>
        <v>4271.66</v>
      </c>
      <c r="AE1637" s="11">
        <f>2003.84+2003.84</f>
        <v>4007.68</v>
      </c>
      <c r="AF1637" s="11">
        <f>1871.64+1871.64</f>
        <v>3743.28</v>
      </c>
      <c r="AG1637" s="11">
        <f>1739.26+1739.26</f>
        <v>3478.52</v>
      </c>
      <c r="AH1637" s="11">
        <f>1606.67+1606.67</f>
        <v>3213.34</v>
      </c>
      <c r="AI1637" s="11">
        <f>1473.88+1473.88</f>
        <v>2947.76</v>
      </c>
      <c r="AJ1637" s="11">
        <f>1340.89+1340.89</f>
        <v>2681.78</v>
      </c>
      <c r="AK1637" s="11">
        <f>1207.71+1207.71</f>
        <v>2415.42</v>
      </c>
      <c r="AL1637" s="11">
        <f>1074.32+1074.32</f>
        <v>2148.64</v>
      </c>
      <c r="AM1637" s="11">
        <f>940.73+940.73</f>
        <v>1881.46</v>
      </c>
      <c r="AN1637" s="11">
        <f>806.95+806.95</f>
        <v>1613.9</v>
      </c>
      <c r="AO1637" s="11">
        <f>672.96+672.96</f>
        <v>1345.92</v>
      </c>
      <c r="AP1637" s="11">
        <f>538.77+538.77</f>
        <v>1077.54</v>
      </c>
      <c r="AQ1637" s="11">
        <f>404.38+404.38</f>
        <v>808.76</v>
      </c>
      <c r="AR1637" s="11">
        <f>269.79+269.79</f>
        <v>539.58000000000004</v>
      </c>
      <c r="AS1637" s="11">
        <f>135+135</f>
        <v>270</v>
      </c>
      <c r="AT1637" s="136" t="s">
        <v>11</v>
      </c>
    </row>
    <row r="1638" spans="1:46" s="6" customFormat="1" ht="13.8" thickBot="1" x14ac:dyDescent="0.3">
      <c r="A1638" s="120"/>
      <c r="B1638" s="120"/>
      <c r="C1638" s="307"/>
      <c r="D1638" s="91"/>
      <c r="E1638" s="90"/>
      <c r="F1638" s="90"/>
      <c r="G1638" s="124"/>
      <c r="H1638" s="124"/>
      <c r="I1638" s="124"/>
      <c r="J1638" s="41" t="s">
        <v>5</v>
      </c>
      <c r="K1638" s="484">
        <f>K1637+K1636+K1635</f>
        <v>3604952.27</v>
      </c>
      <c r="L1638" s="43">
        <f>L1637+L1636+L1635</f>
        <v>14728.83</v>
      </c>
      <c r="M1638" s="43">
        <f>M1637+M1636+M1635</f>
        <v>13966.02</v>
      </c>
      <c r="N1638" s="43">
        <f t="shared" ref="N1638:U1638" si="1444">N1637+N1636+N1635</f>
        <v>13398.08</v>
      </c>
      <c r="O1638" s="43">
        <f t="shared" si="1444"/>
        <v>13032.4</v>
      </c>
      <c r="P1638" s="43">
        <f t="shared" si="1444"/>
        <v>12463.12</v>
      </c>
      <c r="Q1638" s="43">
        <f t="shared" si="1444"/>
        <v>16864.43</v>
      </c>
      <c r="R1638" s="43">
        <f t="shared" si="1444"/>
        <v>16052.69</v>
      </c>
      <c r="S1638" s="43">
        <f t="shared" si="1444"/>
        <v>15183.619999999999</v>
      </c>
      <c r="T1638" s="43">
        <f t="shared" si="1444"/>
        <v>14420.32</v>
      </c>
      <c r="U1638" s="43">
        <f t="shared" si="1444"/>
        <v>13386.5</v>
      </c>
      <c r="V1638" s="41" t="s">
        <v>11</v>
      </c>
      <c r="W1638" s="43"/>
      <c r="X1638" s="43"/>
      <c r="Y1638" s="43">
        <f t="shared" ref="Y1638:Z1638" si="1445">Y1637+Y1636+Y1635</f>
        <v>0</v>
      </c>
      <c r="Z1638" s="499">
        <f t="shared" si="1445"/>
        <v>179951.1</v>
      </c>
      <c r="AA1638" s="538">
        <f>AA1637+AA1636+AA1635</f>
        <v>180261.24</v>
      </c>
      <c r="AB1638" s="43">
        <f t="shared" ref="AB1638:AR1638" si="1446">AB1637+AB1636+AB1635</f>
        <v>180261.44</v>
      </c>
      <c r="AC1638" s="298">
        <f>AC1637+AC1636+AC1635+0.01</f>
        <v>180262.25</v>
      </c>
      <c r="AD1638" s="43">
        <f t="shared" si="1446"/>
        <v>180261.66</v>
      </c>
      <c r="AE1638" s="298">
        <f>AE1637+AE1636+AE1635-0.01</f>
        <v>180262.66999999998</v>
      </c>
      <c r="AF1638" s="298">
        <f>AF1637+AF1636+AF1635+0.01</f>
        <v>180262.29</v>
      </c>
      <c r="AG1638" s="298">
        <f>AG1637+AG1636+AG1635-0.01</f>
        <v>180262.50999999998</v>
      </c>
      <c r="AH1638" s="298">
        <f>AH1637+AH1636+AH1635-0.01</f>
        <v>180263.33</v>
      </c>
      <c r="AI1638" s="43">
        <f t="shared" si="1446"/>
        <v>180262.76</v>
      </c>
      <c r="AJ1638" s="298">
        <f>AJ1637+AJ1636+AJ1635+0.01</f>
        <v>180263.79</v>
      </c>
      <c r="AK1638" s="298">
        <f>AK1637+AK1636+AK1635-0.01</f>
        <v>180263.41</v>
      </c>
      <c r="AL1638" s="43">
        <f t="shared" si="1446"/>
        <v>180263.64</v>
      </c>
      <c r="AM1638" s="298">
        <f>AM1637+AM1636+AM1635+0.01</f>
        <v>180263.47</v>
      </c>
      <c r="AN1638" s="43">
        <f t="shared" si="1446"/>
        <v>180263.9</v>
      </c>
      <c r="AO1638" s="43">
        <f t="shared" si="1446"/>
        <v>180263.92</v>
      </c>
      <c r="AP1638" s="43">
        <f t="shared" si="1446"/>
        <v>180264.54</v>
      </c>
      <c r="AQ1638" s="43">
        <f t="shared" si="1446"/>
        <v>180264.76</v>
      </c>
      <c r="AR1638" s="43">
        <f t="shared" si="1446"/>
        <v>180264.58</v>
      </c>
      <c r="AS1638" s="298">
        <f>AS1637+AS1636+AS1635-0.01</f>
        <v>180264.99</v>
      </c>
      <c r="AT1638" s="41" t="s">
        <v>11</v>
      </c>
    </row>
    <row r="1639" spans="1:46" s="6" customFormat="1" x14ac:dyDescent="0.25">
      <c r="A1639" s="121"/>
      <c r="B1639" s="121"/>
      <c r="C1639" s="306"/>
      <c r="E1639" s="482" t="s">
        <v>1304</v>
      </c>
      <c r="F1639" s="234" t="s">
        <v>413</v>
      </c>
      <c r="G1639" s="326" t="s">
        <v>414</v>
      </c>
      <c r="H1639" s="235"/>
      <c r="I1639" s="235"/>
      <c r="J1639" s="40"/>
      <c r="K1639" s="206"/>
      <c r="L1639" s="7"/>
      <c r="M1639" s="7"/>
      <c r="N1639" s="302" t="s">
        <v>744</v>
      </c>
      <c r="O1639" s="4"/>
      <c r="P1639" s="2"/>
      <c r="Q1639" s="4"/>
      <c r="R1639" s="4"/>
      <c r="S1639" s="4"/>
      <c r="T1639" s="4"/>
      <c r="U1639" s="2"/>
      <c r="V1639" s="2"/>
      <c r="W1639" s="2"/>
      <c r="X1639" s="2"/>
      <c r="Y1639" s="2"/>
      <c r="Z1639" s="490"/>
      <c r="AA1639" s="60"/>
      <c r="AB1639" s="2"/>
      <c r="AC1639" s="7"/>
      <c r="AD1639" s="3"/>
      <c r="AE1639" s="2"/>
      <c r="AF1639" s="2"/>
      <c r="AG1639" s="2"/>
      <c r="AH1639" s="2"/>
      <c r="AI1639" s="7"/>
      <c r="AJ1639" s="2"/>
      <c r="AK1639" s="2"/>
      <c r="AL1639" s="2"/>
      <c r="AM1639" s="2"/>
      <c r="AN1639" s="7"/>
      <c r="AO1639" s="2"/>
      <c r="AP1639" s="2"/>
      <c r="AQ1639" s="2"/>
      <c r="AR1639" s="2"/>
      <c r="AS1639" s="2"/>
      <c r="AT1639" s="2"/>
    </row>
    <row r="1640" spans="1:46" s="217" customFormat="1" ht="13.8" thickBot="1" x14ac:dyDescent="0.3">
      <c r="A1640" s="216"/>
      <c r="B1640" s="216"/>
      <c r="C1640" s="311"/>
      <c r="F1640" s="218"/>
      <c r="G1640" s="218"/>
      <c r="K1640" s="219"/>
      <c r="U1640" s="220"/>
      <c r="V1640" s="220"/>
      <c r="W1640" s="220"/>
      <c r="X1640" s="220"/>
      <c r="Y1640" s="220"/>
      <c r="Z1640" s="518"/>
      <c r="AA1640" s="561"/>
      <c r="AB1640" s="220"/>
      <c r="AC1640" s="220"/>
      <c r="AD1640" s="220"/>
      <c r="AE1640" s="220"/>
      <c r="AF1640" s="220"/>
      <c r="AG1640" s="220"/>
      <c r="AH1640" s="220"/>
      <c r="AI1640" s="220"/>
      <c r="AJ1640" s="220"/>
      <c r="AK1640" s="220"/>
      <c r="AL1640" s="220"/>
      <c r="AM1640" s="220"/>
      <c r="AN1640" s="220"/>
      <c r="AO1640" s="220"/>
      <c r="AP1640" s="220"/>
      <c r="AQ1640" s="220"/>
      <c r="AR1640" s="220"/>
      <c r="AS1640" s="220"/>
      <c r="AT1640" s="220"/>
    </row>
    <row r="1641" spans="1:46" ht="13.8" thickTop="1" x14ac:dyDescent="0.25">
      <c r="F1641" s="176"/>
      <c r="G1641" s="176"/>
      <c r="H1641" s="1"/>
      <c r="I1641" s="211" t="s">
        <v>415</v>
      </c>
      <c r="J1641" s="164" t="s">
        <v>1</v>
      </c>
      <c r="K1641" s="202">
        <f>K1512+K1475+K1426+K1386+K1310+K1261+K1200+K1136+K1090+K1032+K941+K835+K708+K671+K565+K462+K398+K322+K276+K170+K112+K33</f>
        <v>145951272</v>
      </c>
      <c r="L1641" s="181">
        <f t="shared" ref="L1641:N1642" si="1447">L835+L708+L671+L565+L462+L398+L322+L276+L170+L112+L33</f>
        <v>5551921</v>
      </c>
      <c r="M1641" s="181">
        <f t="shared" si="1447"/>
        <v>5607736</v>
      </c>
      <c r="N1641" s="181">
        <f t="shared" si="1447"/>
        <v>5945036</v>
      </c>
      <c r="O1641" s="181">
        <f>O941+O835+O708+O671+O565+O462+O398+O322+O276+O170+O112+O33</f>
        <v>5908186</v>
      </c>
      <c r="P1641" s="181">
        <f>P1032+P941+P835+P708+P671+P565+P462+P398+P322+P276+P170+P112+P33</f>
        <v>6187986</v>
      </c>
      <c r="Q1641" s="181">
        <f>Q1090+Q1032+Q941+Q835+Q708+Q671+Q565+Q462+Q398+Q276+Q170+Q112+Q33</f>
        <v>6074407</v>
      </c>
      <c r="R1641" s="181">
        <f>R1136+R1090+R1032+R941+R835+R708+R671+R565+R462+R398+R276+R170+R112+R33</f>
        <v>5102000</v>
      </c>
      <c r="S1641" s="181">
        <f>S1200+S1136+S1090+S1032+S941+S835+S708+S671+S565+S462+S398+S276+S170+S112+S33</f>
        <v>4985000</v>
      </c>
      <c r="T1641" s="181">
        <f>T1261+T1200+T1136+T1090+T1032+T941+T835+T708+T671+T565+T462+T398+T276+T170+T112+T33</f>
        <v>4940000</v>
      </c>
      <c r="U1641" s="181">
        <f>U1261+U1200+U1136+U1090+U1032+U941+U835+U708+U671+U565+U462+U398+U170+U112</f>
        <v>4385000</v>
      </c>
      <c r="V1641" s="181">
        <f>V1310+V1261+V1200+V1136+V1090+V1032+V941+V835+V708+V671+V565+V462+V398+V170+V112</f>
        <v>4595000</v>
      </c>
      <c r="W1641" s="181">
        <f>W1426+W1310+W1261+W1200+W1136+W1090+W1032+W941+W835+W671+W565+W462+W398+W170+W112</f>
        <v>4185000</v>
      </c>
      <c r="X1641" s="181">
        <f>X1426+X1386+X1310+X1261+X1200+X1136+X1090+X1032+X941+X835+X671+X565+X462+X398+X170</f>
        <v>4805000</v>
      </c>
      <c r="Y1641" s="181">
        <f>Y1512+Y1426+Y1386+Y1310+Y1261+Y1200+Y1136+Y1090+Y1032+Y941+Y835+Y671+Y565+Y462+Y398</f>
        <v>4395000</v>
      </c>
      <c r="Z1641" s="519">
        <f>Z1512+Z1475+Z1426+Z1386+Z1310+Z1261+Z1200+Z1136+Z1090+Z1032+Z941+Z835+Z671+Z565+Z462+Z398</f>
        <v>5165000</v>
      </c>
      <c r="AA1641" s="562">
        <f>AA1512+AA1475+AA1426+AA1386+AA1310+AA1261+AA1200+AA1136+AA1090+AA1032+AA941+AA835+AA565+AA462+AA398</f>
        <v>4690000</v>
      </c>
      <c r="AB1641" s="181">
        <f>AB1512+AB1475+AB1426+AB1386+AB1310+AB1261+AB1200+AB1136+AB1090+AB1032+AB941+AB835+AB565+AB462</f>
        <v>3985000</v>
      </c>
      <c r="AC1641" s="181">
        <f>AC1512+AC1475+AC1426+AC1386+AC1310+AC1261+AC1200+AC1136+AC1090+AC1032+AC941+AC565</f>
        <v>3495000</v>
      </c>
      <c r="AD1641" s="181">
        <f>AD1512+AD1475+AD1426+AD1386+AD1310+AD1261+AD1200+AD1136+AD1090+AD1032+AD941</f>
        <v>3320000</v>
      </c>
      <c r="AE1641" s="181">
        <f>AE1512+AE1475+AE1426+AE1386+AE1310+AE1261+AE1200+AE1136+AE1090+AE941</f>
        <v>3000000</v>
      </c>
      <c r="AF1641" s="181">
        <f>AF1512+AF1475+AF1426+AF1386+AF1310+AF1261+AF1200+AF1136+AF1090+AF941</f>
        <v>2880000</v>
      </c>
      <c r="AG1641" s="181">
        <f>AG1512+AG1475+AG1426+AG1386+AG1310+AG1261+AG1200+AG941</f>
        <v>2315000</v>
      </c>
      <c r="AH1641" s="181">
        <f>AH1512+AH1475+AH1426+AH1386+AH1310+AH1261+AH1200+AH941</f>
        <v>2250000</v>
      </c>
      <c r="AI1641" s="181">
        <f t="shared" ref="AI1641:AL1642" si="1448">AI1512+AI1475+AI1426+AI1386+AI1310+AI1261+AI1200</f>
        <v>1855000</v>
      </c>
      <c r="AJ1641" s="181">
        <f t="shared" si="1448"/>
        <v>1835000</v>
      </c>
      <c r="AK1641" s="181">
        <f t="shared" si="1448"/>
        <v>1780000</v>
      </c>
      <c r="AL1641" s="181">
        <f t="shared" si="1448"/>
        <v>1720000</v>
      </c>
      <c r="AM1641" s="181">
        <f>AM1512+AM1475+AM1426+AM1386+AM1310+AM1261</f>
        <v>1380000</v>
      </c>
      <c r="AN1641" s="181">
        <f>AN1512+AN1475+AN1426+AN1386+AN1310</f>
        <v>1135000</v>
      </c>
      <c r="AO1641" s="181">
        <f>AO1512+AO1475+AO1426+AO1386+AO1310</f>
        <v>1115000</v>
      </c>
      <c r="AP1641" s="181">
        <f>AP1512+AP1475+AP1426+AP1386</f>
        <v>960000</v>
      </c>
      <c r="AQ1641" s="181">
        <f>AQ1512+AQ1475+AQ1426</f>
        <v>805000</v>
      </c>
      <c r="AR1641" s="181">
        <f>AR1512+AR1475</f>
        <v>600000</v>
      </c>
      <c r="AS1641" s="181">
        <f>AS1512</f>
        <v>195000</v>
      </c>
      <c r="AT1641" s="178" t="s">
        <v>11</v>
      </c>
    </row>
    <row r="1642" spans="1:46" ht="13.8" thickBot="1" x14ac:dyDescent="0.3">
      <c r="F1642" s="176"/>
      <c r="G1642" s="176"/>
      <c r="H1642" s="1"/>
      <c r="I1642" s="211"/>
      <c r="J1642" s="203" t="s">
        <v>2</v>
      </c>
      <c r="K1642" s="204">
        <f>K1513+K1476+K1427+K1387+K1311+K1262+K1201+K1137+K1091+K1033+K942+K836+K709+K672+K566+K463+K399+K323+K277+K171+K113+K34</f>
        <v>42228669.339999989</v>
      </c>
      <c r="L1642" s="182">
        <f t="shared" si="1447"/>
        <v>1621242.03</v>
      </c>
      <c r="M1642" s="182">
        <f t="shared" si="1447"/>
        <v>1428277.96</v>
      </c>
      <c r="N1642" s="182">
        <f t="shared" si="1447"/>
        <v>1333023.49</v>
      </c>
      <c r="O1642" s="182">
        <f>O942+O836+O709+O672+O566+O463+O399+O323+O277+O171+O113+O34</f>
        <v>1277967.46</v>
      </c>
      <c r="P1642" s="182">
        <f>P1033+P942+P836+P709+P672+P566+P463+P399+P323+P277+P171+P113+P34</f>
        <v>1201540.97</v>
      </c>
      <c r="Q1642" s="182">
        <f>Q1091+Q1033+Q942+Q836+Q709+Q672+Q566+Q463+Q399+Q277+Q171+Q113+Q34</f>
        <v>1146543.3799999999</v>
      </c>
      <c r="R1642" s="182">
        <f>R1137+R1091+R1033+R942+R836+R709+R672+R566+R463+R399+R277+R171+R113+R34</f>
        <v>1058720.73</v>
      </c>
      <c r="S1642" s="182">
        <f>S1201+S1137+S1091+S1033+S942+S836+S709+S672+S566+S463+S399+S277+S171+S113+S34</f>
        <v>1172904.73</v>
      </c>
      <c r="T1642" s="182">
        <f>T1262+T1201+T1137+T1091+T1033+T942+T836+T709+T672+T566+T463+T399+T277+T171+T113+T34</f>
        <v>1233332.49</v>
      </c>
      <c r="U1642" s="182">
        <f>U1262+U1201+U1137+U1091+U1033+U942+U836+U709+U672+U566+U463+U399+U171+U113</f>
        <v>1049793.75</v>
      </c>
      <c r="V1642" s="182">
        <f>V1311+V1262+V1201+V1137+V1091+V1033+V942+V836+V709+V672+V566+V463+V399+V171+V113</f>
        <v>1070748.75</v>
      </c>
      <c r="W1642" s="182">
        <f>W1427+W1311+W1262+W1201+W1137+W1091+W1033+W942+W836+W672+W566+W463+W399+W171+W113</f>
        <v>887370</v>
      </c>
      <c r="X1642" s="182">
        <f>X1427+X1387+X1311+X1262+X1201+X1137+X1091+X1033+X942+X836+X672+X566+X463+X399+X171</f>
        <v>1412015.02</v>
      </c>
      <c r="Y1642" s="182">
        <f>Y1513+Y1427+Y1387+Y1311+Y1262+Y1201+Y1137+Y1091+Y1033+Y942+Y836+Y672+Y566+Y463+Y399</f>
        <v>1219824.99</v>
      </c>
      <c r="Z1642" s="520">
        <f>Z1513+Z1476+Z1427+Z1387+Z1311+Z1262+Z1201+Z1137+Z1091+Z1033+Z942+Z836+Z672+Z566+Z463+Z399</f>
        <v>1736631.13</v>
      </c>
      <c r="AA1642" s="563">
        <f>AA1513+AA1476+AA1427+AA1387+AA1311+AA1262+AA1201+AA1137+AA1091+AA1033+AA942+AA836+AA566+AA463+AA399</f>
        <v>1519350.63</v>
      </c>
      <c r="AB1642" s="182">
        <f>AB1513+AB1476+AB1427+AB1387+AB1311+AB1262+AB1201+AB1137+AB1091+AB1033+AB942+AB836+AB566+AB463</f>
        <v>1319973.1200000001</v>
      </c>
      <c r="AC1642" s="182">
        <f>AC1513+AC1476+AC1427+AC1387+AC1311+AC1262+AC1201+AC1137+AC1091+AC1033+AC942+AC566</f>
        <v>1168868.75</v>
      </c>
      <c r="AD1642" s="182">
        <f>AD1513+AD1476+AD1427+AD1387+AD1311+AD1262+AD1201+AD1137+AD1091+AD1033+AD942</f>
        <v>1027953.75</v>
      </c>
      <c r="AE1642" s="182">
        <f>AE1513+AE1476+AE1427+AE1387+AE1311+AE1262+AE1201+AE1137+AE1091+AE942</f>
        <v>903656.25</v>
      </c>
      <c r="AF1642" s="182">
        <f>AF1513+AF1476+AF1427+AF1387+AF1311+AF1262+AF1201+AF1137+AF1091+AF942</f>
        <v>787593.75</v>
      </c>
      <c r="AG1642" s="182">
        <f>AG1513+AG1476+AG1427+AG1387+AG1311+AG1262+AG1201+AG942</f>
        <v>674551.25</v>
      </c>
      <c r="AH1642" s="182">
        <f>AH1513+AH1476+AH1427+AH1387+AH1311+AH1262+AH1201+AH942</f>
        <v>582618.75</v>
      </c>
      <c r="AI1642" s="182">
        <f t="shared" si="1448"/>
        <v>496318.75</v>
      </c>
      <c r="AJ1642" s="182">
        <f t="shared" si="1448"/>
        <v>427743.75</v>
      </c>
      <c r="AK1642" s="182">
        <f t="shared" si="1448"/>
        <v>362968.75</v>
      </c>
      <c r="AL1642" s="182">
        <f t="shared" si="1448"/>
        <v>299293.75</v>
      </c>
      <c r="AM1642" s="182">
        <f>AM1513+AM1476+AM1427+AM1387+AM1311+AM1262</f>
        <v>237518.75</v>
      </c>
      <c r="AN1642" s="182">
        <f>AN1513+AN1476+AN1427+AN1387+AN1311</f>
        <v>187725</v>
      </c>
      <c r="AO1642" s="182">
        <f>AO1513+AO1476+AO1427+AO1387+AO1311</f>
        <v>143837.5</v>
      </c>
      <c r="AP1642" s="182">
        <f>AP1513+AP1476+AP1427+AP1387</f>
        <v>103550.01</v>
      </c>
      <c r="AQ1642" s="182">
        <f>AQ1513+AQ1476+AQ1427</f>
        <v>65962.5</v>
      </c>
      <c r="AR1642" s="182">
        <f>AR1513+AR1476</f>
        <v>33262.5</v>
      </c>
      <c r="AS1642" s="182">
        <f>AS1513</f>
        <v>8531.26</v>
      </c>
      <c r="AT1642" s="528" t="s">
        <v>11</v>
      </c>
    </row>
    <row r="1643" spans="1:46" x14ac:dyDescent="0.25">
      <c r="F1643" s="176"/>
      <c r="G1643" s="176"/>
      <c r="H1643" s="1"/>
      <c r="I1643" s="211"/>
      <c r="J1643" s="164" t="s">
        <v>5</v>
      </c>
      <c r="K1643" s="110">
        <f>K1642+K1641</f>
        <v>188179941.33999997</v>
      </c>
      <c r="L1643" s="205">
        <f>L1642+L1641</f>
        <v>7173163.0300000003</v>
      </c>
      <c r="M1643" s="205">
        <f>M1642+M1641</f>
        <v>7036013.96</v>
      </c>
      <c r="N1643" s="205">
        <f t="shared" ref="N1643:P1643" si="1449">N1642+N1641</f>
        <v>7278059.4900000002</v>
      </c>
      <c r="O1643" s="205">
        <f t="shared" si="1449"/>
        <v>7186153.46</v>
      </c>
      <c r="P1643" s="205">
        <f t="shared" si="1449"/>
        <v>7389526.9699999997</v>
      </c>
      <c r="Q1643" s="205">
        <f t="shared" ref="Q1643:R1643" si="1450">Q1642+Q1641</f>
        <v>7220950.3799999999</v>
      </c>
      <c r="R1643" s="205">
        <f t="shared" si="1450"/>
        <v>6160720.7300000004</v>
      </c>
      <c r="S1643" s="205">
        <f t="shared" ref="S1643:AC1643" si="1451">S1642+S1641</f>
        <v>6157904.7300000004</v>
      </c>
      <c r="T1643" s="205">
        <f t="shared" si="1451"/>
        <v>6173332.4900000002</v>
      </c>
      <c r="U1643" s="205">
        <f t="shared" si="1451"/>
        <v>5434793.75</v>
      </c>
      <c r="V1643" s="205">
        <f t="shared" si="1451"/>
        <v>5665748.75</v>
      </c>
      <c r="W1643" s="205">
        <f t="shared" si="1451"/>
        <v>5072370</v>
      </c>
      <c r="X1643" s="205">
        <f t="shared" ref="X1643" si="1452">X1642+X1641</f>
        <v>6217015.0199999996</v>
      </c>
      <c r="Y1643" s="205">
        <f t="shared" si="1451"/>
        <v>5614824.9900000002</v>
      </c>
      <c r="Z1643" s="521">
        <f t="shared" si="1451"/>
        <v>6901631.1299999999</v>
      </c>
      <c r="AA1643" s="564">
        <f t="shared" si="1451"/>
        <v>6209350.6299999999</v>
      </c>
      <c r="AB1643" s="205">
        <f t="shared" si="1451"/>
        <v>5304973.12</v>
      </c>
      <c r="AC1643" s="205">
        <f t="shared" si="1451"/>
        <v>4663868.75</v>
      </c>
      <c r="AD1643" s="205">
        <f t="shared" ref="AD1643:AI1643" si="1453">AD1642+AD1641</f>
        <v>4347953.75</v>
      </c>
      <c r="AE1643" s="205">
        <f t="shared" si="1453"/>
        <v>3903656.25</v>
      </c>
      <c r="AF1643" s="205">
        <f t="shared" si="1453"/>
        <v>3667593.75</v>
      </c>
      <c r="AG1643" s="205">
        <f t="shared" si="1453"/>
        <v>2989551.25</v>
      </c>
      <c r="AH1643" s="205">
        <f t="shared" si="1453"/>
        <v>2832618.75</v>
      </c>
      <c r="AI1643" s="205">
        <f t="shared" si="1453"/>
        <v>2351318.75</v>
      </c>
      <c r="AJ1643" s="205">
        <f t="shared" ref="AJ1643:AL1643" si="1454">AJ1642+AJ1641</f>
        <v>2262743.75</v>
      </c>
      <c r="AK1643" s="205">
        <f t="shared" si="1454"/>
        <v>2142968.75</v>
      </c>
      <c r="AL1643" s="205">
        <f t="shared" si="1454"/>
        <v>2019293.75</v>
      </c>
      <c r="AM1643" s="205">
        <f t="shared" ref="AM1643:AQ1643" si="1455">AM1642+AM1641</f>
        <v>1617518.75</v>
      </c>
      <c r="AN1643" s="205">
        <f t="shared" si="1455"/>
        <v>1322725</v>
      </c>
      <c r="AO1643" s="205">
        <f t="shared" si="1455"/>
        <v>1258837.5</v>
      </c>
      <c r="AP1643" s="205">
        <f t="shared" si="1455"/>
        <v>1063550.01</v>
      </c>
      <c r="AQ1643" s="205">
        <f t="shared" si="1455"/>
        <v>870962.5</v>
      </c>
      <c r="AR1643" s="205">
        <f t="shared" ref="AR1643" si="1456">AR1642+AR1641</f>
        <v>633262.5</v>
      </c>
      <c r="AS1643" s="205">
        <f t="shared" ref="AS1643" si="1457">AS1642+AS1641</f>
        <v>203531.26</v>
      </c>
      <c r="AT1643" s="40" t="s">
        <v>11</v>
      </c>
    </row>
    <row r="1644" spans="1:46" x14ac:dyDescent="0.25">
      <c r="F1644" s="176"/>
      <c r="G1644" s="176"/>
      <c r="H1644" s="1"/>
      <c r="I1644" s="178"/>
      <c r="J1644" s="40"/>
      <c r="K1644" s="206"/>
      <c r="L1644" s="205"/>
      <c r="M1644" s="205"/>
      <c r="N1644" s="205"/>
      <c r="O1644" s="205"/>
      <c r="P1644" s="205"/>
      <c r="Q1644" s="205"/>
      <c r="R1644" s="205"/>
      <c r="S1644" s="205"/>
      <c r="T1644" s="205"/>
      <c r="U1644" s="205"/>
      <c r="V1644" s="205"/>
      <c r="W1644" s="205"/>
      <c r="X1644" s="205"/>
      <c r="Y1644" s="205"/>
      <c r="Z1644" s="521"/>
      <c r="AA1644" s="564"/>
      <c r="AB1644" s="205"/>
      <c r="AC1644" s="205"/>
      <c r="AD1644" s="40"/>
      <c r="AE1644" s="205"/>
      <c r="AF1644" s="205"/>
      <c r="AG1644" s="205"/>
      <c r="AH1644" s="205"/>
      <c r="AI1644" s="205"/>
      <c r="AJ1644" s="205"/>
      <c r="AK1644" s="205"/>
      <c r="AL1644" s="205"/>
      <c r="AM1644" s="205"/>
      <c r="AN1644" s="205"/>
      <c r="AO1644" s="205"/>
      <c r="AP1644" s="205"/>
      <c r="AQ1644" s="205"/>
      <c r="AR1644" s="205"/>
      <c r="AS1644" s="205"/>
      <c r="AT1644" s="205"/>
    </row>
    <row r="1645" spans="1:46" x14ac:dyDescent="0.25">
      <c r="F1645" s="176"/>
      <c r="G1645" s="176"/>
      <c r="H1645" s="212"/>
      <c r="I1645" s="343" t="s">
        <v>716</v>
      </c>
      <c r="J1645" s="40" t="s">
        <v>1</v>
      </c>
      <c r="K1645" s="206">
        <f>K1635+K1630+K1623+K1616+K1611+K1606+K1601+K1596+K1591+K1586+K1581+K1576+K1571+K1566+K1561+K1556+K1551+K1546+K1541+K1536+K1531+K1526+K1521+K1516</f>
        <v>44184169.199999996</v>
      </c>
      <c r="L1645" s="205">
        <f t="shared" ref="L1645:N1647" si="1458">L1623+L1616+L1611+L1601+L1596+L1591+L1586+L1581+L1576+L1571+L1566+L1561+L1556+L1551+L1546+L1541+L1536+L1531+L1526+L1521+L1516</f>
        <v>599278.6399999999</v>
      </c>
      <c r="M1645" s="205">
        <f t="shared" si="1458"/>
        <v>660038.67999999993</v>
      </c>
      <c r="N1645" s="205">
        <f t="shared" si="1458"/>
        <v>1008565.5900000001</v>
      </c>
      <c r="O1645" s="205">
        <f t="shared" ref="O1645:T1646" si="1459">O1623+O1616+O1611+O1606+O1601+O1596+O1591+O1586+O1581+O1576+O1571+O1566+O1561+O1556+O1551+O1546+O1541+O1536+O1531+O1526+O1521+O1516</f>
        <v>1035498.4999999998</v>
      </c>
      <c r="P1645" s="205">
        <f t="shared" si="1459"/>
        <v>1451002.5000000002</v>
      </c>
      <c r="Q1645" s="205">
        <f t="shared" si="1459"/>
        <v>1474112.54</v>
      </c>
      <c r="R1645" s="205">
        <f t="shared" si="1459"/>
        <v>1512904.9699999997</v>
      </c>
      <c r="S1645" s="205">
        <f t="shared" si="1459"/>
        <v>1544642.4500000002</v>
      </c>
      <c r="T1645" s="205">
        <f t="shared" si="1459"/>
        <v>1575840.2439999999</v>
      </c>
      <c r="U1645" s="205">
        <f>U1623+U1616+U1601+U1596+U1591+U1586+U1581+U1576+U1571+U1566+U1561+U1556+U1551+U1541+U1536+U1531+U1526</f>
        <v>1440126.7699999998</v>
      </c>
      <c r="V1645" s="205">
        <f t="shared" ref="V1645:W1647" si="1460">V1623+V1616+V1601+V1596+V1591+V1586+V1581+V1576+V1571+V1566+V1561+V1556+V1551+V1541</f>
        <v>1220932.8400000001</v>
      </c>
      <c r="W1645" s="205">
        <f t="shared" si="1460"/>
        <v>1232349.4099999999</v>
      </c>
      <c r="X1645" s="205">
        <f>X1623+X1616+X1601+X1596+X1591+X1586+X1581+X1576+X1571+X1566+X1561+X1556+X1551</f>
        <v>1225232.8499999999</v>
      </c>
      <c r="Y1645" s="205">
        <f>Y1635+Y1623+Y1616+Y1601+Y1596+Y1591+Y1586+Y1581+Y1576+Y1571+Y1566+Y1561+Y1556</f>
        <v>1162696.9699999997</v>
      </c>
      <c r="Z1645" s="521">
        <f>Z1635+Z1630+Z1623+Z1616+Z1601+Z1596+Z1591+Z1586+Z1581+Z1576+Z1571+Z1566</f>
        <v>1425735.83</v>
      </c>
      <c r="AA1645" s="564">
        <f>AA1635+AA1630+AA1623+AA1616+AA1601+AA1596+AA1586+AA1576+AA1571</f>
        <v>1306990.6399999999</v>
      </c>
      <c r="AB1645" s="205">
        <f>AB1635+AB1630+AB1623+AB1616+AB1601+AB1596+AB1586+AB1576</f>
        <v>1266557.8799999999</v>
      </c>
      <c r="AC1645" s="205">
        <f>AC1635+AC1630+AC1623+AC1616+AC1601+AC1596+AC1586</f>
        <v>1226996.6500000001</v>
      </c>
      <c r="AD1645" s="205">
        <f>AD1635+AD1630+AD1623+AD1616+AD1601+AD1596+AD1586</f>
        <v>1240912.5899999999</v>
      </c>
      <c r="AE1645" s="205">
        <f>AE1635+AE1630+AE1623+AE1616+AE1601+AE1596+AE1586</f>
        <v>1255154.2799999998</v>
      </c>
      <c r="AF1645" s="205">
        <f>AF1635+AF1630+AF1623+AF1616</f>
        <v>1201784.57</v>
      </c>
      <c r="AG1645" s="205">
        <f>AG1635+AG1630+AG1623+AG1616</f>
        <v>1215328.32</v>
      </c>
      <c r="AH1645" s="205">
        <f t="shared" ref="AH1645:AI1645" si="1461">AH1635+AH1630+AH1623+AH1616</f>
        <v>1229191.1200000001</v>
      </c>
      <c r="AI1645" s="205">
        <f t="shared" si="1461"/>
        <v>1243381.6499999999</v>
      </c>
      <c r="AJ1645" s="205">
        <f>AJ1635+AJ1630+AJ1623+AJ1616</f>
        <v>1257908.5900000001</v>
      </c>
      <c r="AK1645" s="205">
        <f>AK1635+AK1630+AK1623+AK1616</f>
        <v>1272778.6200000001</v>
      </c>
      <c r="AL1645" s="205">
        <f>AL1635+AL1630+AL1623+AL1616</f>
        <v>1288004.3799999999</v>
      </c>
      <c r="AM1645" s="205">
        <f>AM1635+AM1630+AM1623+AM1616</f>
        <v>1303591.55</v>
      </c>
      <c r="AN1645" s="205">
        <f t="shared" ref="AN1645:AP1645" si="1462">AN1635+AN1630+AN1623+AN1616</f>
        <v>1319549.75</v>
      </c>
      <c r="AO1645" s="205">
        <f t="shared" si="1462"/>
        <v>1335890.6299999999</v>
      </c>
      <c r="AP1645" s="205">
        <f t="shared" si="1462"/>
        <v>1352620.82</v>
      </c>
      <c r="AQ1645" s="205">
        <f>AQ1635+AQ1630+AQ1623+AQ1616</f>
        <v>1369750.92</v>
      </c>
      <c r="AR1645" s="205">
        <f>AR1635+AR1630+AR1623</f>
        <v>701717.55</v>
      </c>
      <c r="AS1645" s="205">
        <f>AS1635+AS1623</f>
        <v>544403.29</v>
      </c>
      <c r="AT1645" s="40" t="s">
        <v>11</v>
      </c>
    </row>
    <row r="1646" spans="1:46" x14ac:dyDescent="0.25">
      <c r="F1646" s="176"/>
      <c r="G1646" s="176"/>
      <c r="H1646" s="1"/>
      <c r="I1646" s="213"/>
      <c r="J1646" s="40" t="s">
        <v>2</v>
      </c>
      <c r="K1646" s="206">
        <f>K1636+K1631+K1624+K1617+K1612+K1607+K1602+K1597+K1592+K1587+K1582+K1577+K1572+K1567+K1562+K1557+K1552+K1547+K1542+K1537+K1532+K1527+K1522+K1517</f>
        <v>3467253.2899999996</v>
      </c>
      <c r="L1646" s="205">
        <f t="shared" si="1458"/>
        <v>208772.66999999998</v>
      </c>
      <c r="M1646" s="205">
        <f t="shared" si="1458"/>
        <v>405332.58999999997</v>
      </c>
      <c r="N1646" s="205">
        <f t="shared" si="1458"/>
        <v>355382.6</v>
      </c>
      <c r="O1646" s="205">
        <f t="shared" si="1459"/>
        <v>164061.53</v>
      </c>
      <c r="P1646" s="205">
        <f t="shared" si="1459"/>
        <v>141527.82999999999</v>
      </c>
      <c r="Q1646" s="205">
        <f t="shared" si="1459"/>
        <v>118164.58</v>
      </c>
      <c r="R1646" s="205">
        <f t="shared" si="1459"/>
        <v>94610.51</v>
      </c>
      <c r="S1646" s="205">
        <f t="shared" si="1459"/>
        <v>74594.55</v>
      </c>
      <c r="T1646" s="205">
        <f t="shared" si="1459"/>
        <v>59080.339999999989</v>
      </c>
      <c r="U1646" s="205">
        <f>U1624+U1617+U1602+U1597+U1592+U1587+U1582+U1577+U1572+U1567+U1562+U1557+U1552+U1542+U1537+U1532+U1527</f>
        <v>48660.25</v>
      </c>
      <c r="V1646" s="205">
        <f t="shared" si="1460"/>
        <v>39279</v>
      </c>
      <c r="W1646" s="205">
        <f t="shared" si="1460"/>
        <v>31326.71</v>
      </c>
      <c r="X1646" s="205">
        <f>X1624+X1617+X1602+X1597+X1592+X1587+X1582+X1577+X1572+X1567+X1562+X1557+X1552</f>
        <v>24314.890000000003</v>
      </c>
      <c r="Y1646" s="205">
        <f>Y1636+Y1624+Y1617+Y1602+Y1597+Y1592+Y1587+Y1582+Y1577+Y1572+Y1567+Y1562+Y1557</f>
        <v>18512.54</v>
      </c>
      <c r="Z1646" s="521">
        <f>Z1602+Z1597+Z1592+Z1587+Z1582+Z1577+Z1572+Z1567</f>
        <v>12593.11</v>
      </c>
      <c r="AA1646" s="564">
        <f>AA1602+AA1597+AA1587+AA1577+AA1572</f>
        <v>7919.8600000000006</v>
      </c>
      <c r="AB1646" s="205">
        <f>AB1602+AB1597+AB1587+AB1577</f>
        <v>5076.8399999999992</v>
      </c>
      <c r="AC1646" s="205">
        <f>AC1602+AC1597+AC1587</f>
        <v>3277.7699999999995</v>
      </c>
      <c r="AD1646" s="205">
        <f>AD1602+AD1597+AD1587</f>
        <v>1984.9199999999998</v>
      </c>
      <c r="AE1646" s="205">
        <f>AE1602+AE1597+AE1587</f>
        <v>666</v>
      </c>
      <c r="AF1646" s="205">
        <v>0</v>
      </c>
      <c r="AG1646" s="205">
        <v>0</v>
      </c>
      <c r="AH1646" s="205"/>
      <c r="AI1646" s="205"/>
      <c r="AJ1646" s="205">
        <f>AJ1617</f>
        <v>70993.87</v>
      </c>
      <c r="AK1646" s="205">
        <f>AK1617</f>
        <v>96150.989999999991</v>
      </c>
      <c r="AL1646" s="205">
        <f>AL1617</f>
        <v>82356.800000000003</v>
      </c>
      <c r="AM1646" s="205">
        <f>AM1617</f>
        <v>68210.55</v>
      </c>
      <c r="AN1646" s="205">
        <f t="shared" ref="AN1646:AP1646" si="1463">AN1617</f>
        <v>53703.270000000004</v>
      </c>
      <c r="AO1646" s="205">
        <f t="shared" si="1463"/>
        <v>38825.74</v>
      </c>
      <c r="AP1646" s="205">
        <f t="shared" si="1463"/>
        <v>23568.5</v>
      </c>
      <c r="AQ1646" s="205">
        <f>AQ1617</f>
        <v>7921.88</v>
      </c>
      <c r="AR1646" s="205">
        <v>0</v>
      </c>
      <c r="AS1646" s="205">
        <v>0</v>
      </c>
      <c r="AT1646" s="40" t="s">
        <v>11</v>
      </c>
    </row>
    <row r="1647" spans="1:46" ht="13.8" thickBot="1" x14ac:dyDescent="0.3">
      <c r="E1647" s="178" t="s">
        <v>717</v>
      </c>
      <c r="F1647" s="178"/>
      <c r="G1647" s="176"/>
      <c r="H1647" s="1"/>
      <c r="I1647" s="215"/>
      <c r="J1647" s="208" t="s">
        <v>386</v>
      </c>
      <c r="K1647" s="209">
        <f>K1637+K1632+K1625+K1618+K1613+K1608+K1603+K1598+K1593+K1588+K1583+K1578+K1573+K1568+K1563+K1558+K1553+K1548+K1543+K1538+K1533+K1528+K1523+K1518</f>
        <v>965845.05999999994</v>
      </c>
      <c r="L1647" s="210">
        <f t="shared" si="1458"/>
        <v>15012.549999999997</v>
      </c>
      <c r="M1647" s="210">
        <f t="shared" si="1458"/>
        <v>25966.569999999996</v>
      </c>
      <c r="N1647" s="210">
        <f t="shared" si="1458"/>
        <v>34154.900000000009</v>
      </c>
      <c r="O1647" s="210">
        <f>O1625+O1618+O1613+O1608+O1603+O1598+O1593+O1588+O1583+O1578+O1573+O1568+O1563+O1558+O1553+O1548+O1543+O1538+O1533+O1528+O1523+O1518</f>
        <v>33506.230000000003</v>
      </c>
      <c r="P1647" s="210">
        <f>P1625+P1618+P1603+P1598+P1593+P1588+P1583+P1578+P1573+P1568+P1563+P1558+P1553+P1548+P1543+P1538+P1533+P1528+P1523+P1518</f>
        <v>49203.049999999981</v>
      </c>
      <c r="Q1647" s="210">
        <f>Q1625+Q1618+Q1603+Q1598+Q1593+Q1588+Q1583+Q1578+Q1573+Q1568+Q1563+Q1558+Q1553+Q1548+Q1543+Q1538+Q1533+Q1528+Q1523+Q1518</f>
        <v>38058.58</v>
      </c>
      <c r="R1647" s="210">
        <f>R1625+R1618+R1603+R1598+R1593+R1588+R1583+R1578+R1573+R1568+R1563+R1558+R1553+R1548+R1543+R1538+R1533+R1528+R1523+R1518</f>
        <v>43175.810000000005</v>
      </c>
      <c r="S1647" s="210">
        <f>S1625+S1618+S1603+S1598+S1593+S1588+S1583+S1578+S1573+S1568+S1563+S1558+S1553+S1548+S1543+S1538+S1533+S1528+S1523+S1518</f>
        <v>40646.340000000004</v>
      </c>
      <c r="T1647" s="210">
        <f>T1625+T1618+T1603+T1598+T1593+T1588+T1583+T1578+T1573+T1568+T1563+T1558+T1553+T1548+T1543+T1538+T1533+T1528+T1523+T1518</f>
        <v>38058.249999999993</v>
      </c>
      <c r="U1647" s="210">
        <f>U1625+U1618+U1603+U1598+U1593+U1588+U1583+U1578+U1573+U1568+U1563+U1558+U1553+U1543+U1538+U1533+U1528</f>
        <v>35576.590000000004</v>
      </c>
      <c r="V1647" s="210">
        <f t="shared" si="1460"/>
        <v>33463.360000000001</v>
      </c>
      <c r="W1647" s="210">
        <f t="shared" si="1460"/>
        <v>31600.49</v>
      </c>
      <c r="X1647" s="210">
        <f>X1625+X1618+X1603+X1598+X1593+X1588+X1583+X1578+X1573+X1568+X1563+X1558+X1553</f>
        <v>29736.180000000004</v>
      </c>
      <c r="Y1647" s="210">
        <f>Y1637+Y1625+Y1618+Y1603+Y1598+Y1593+Y1588+Y1583+Y1578+Y1573+Y1568+Y1563+Y1558</f>
        <v>27932.609999999993</v>
      </c>
      <c r="Z1647" s="522">
        <f>Z1632+Z1637+Z1625+Z1618+Z1603+Z1598+Z1593+Z1588+Z1583+Z1578+Z1573+Z1568</f>
        <v>35675.989999999991</v>
      </c>
      <c r="AA1647" s="566">
        <f>AA1632+AA1637+AA1625+AA1618+AA1603+AA1598+AA1588+AA1578+AA1573</f>
        <v>33937.47</v>
      </c>
      <c r="AB1647" s="210">
        <f>AB1632+AB1637+AB1625+AB1618+AB1603+AB1598+AB1588+AB1578</f>
        <v>32007.769999999997</v>
      </c>
      <c r="AC1647" s="210">
        <f>AC1632+AC1637+AC1625+AC1618+AC1603+AC1598+AC1588</f>
        <v>30138.1</v>
      </c>
      <c r="AD1647" s="210">
        <f>AD1632+AD1637+AD1625+AD1618+AD1603+AD1598+AD1588</f>
        <v>28287.68</v>
      </c>
      <c r="AE1647" s="210">
        <f>AE1632+AE1637+AE1625+AE1618+AE1603+AE1598+AE1588</f>
        <v>26416.09</v>
      </c>
      <c r="AF1647" s="210">
        <f>AF1632+AF1637+AF1625+AF1618</f>
        <v>24573.85</v>
      </c>
      <c r="AG1647" s="210">
        <f>AG1632+AG1637+AG1625+AG1618</f>
        <v>22761.5</v>
      </c>
      <c r="AH1647" s="210">
        <f t="shared" ref="AH1647:AI1647" si="1464">AH1632+AH1637+AH1625+AH1618</f>
        <v>20928.54</v>
      </c>
      <c r="AI1647" s="210">
        <f t="shared" si="1464"/>
        <v>19074.54</v>
      </c>
      <c r="AJ1647" s="210">
        <f>AJ1632+AJ1637+AJ1625+AJ1618</f>
        <v>17199.03</v>
      </c>
      <c r="AK1647" s="210">
        <f>AK1632+AK1637+AK1625+AK1618</f>
        <v>15301.45</v>
      </c>
      <c r="AL1647" s="210">
        <f>AL1632+AL1637+AL1625+AL1618</f>
        <v>13381.279999999999</v>
      </c>
      <c r="AM1647" s="210">
        <f>AM1632+AM1637+AM1625+AM1618</f>
        <v>11437.990000000002</v>
      </c>
      <c r="AN1647" s="210">
        <f t="shared" ref="AN1647:AP1647" si="1465">AN1632+AN1637+AN1625+AN1618</f>
        <v>9471.02</v>
      </c>
      <c r="AO1647" s="210">
        <f t="shared" si="1465"/>
        <v>7479.82</v>
      </c>
      <c r="AP1647" s="210">
        <f t="shared" si="1465"/>
        <v>5463.8099999999995</v>
      </c>
      <c r="AQ1647" s="210">
        <f>AQ1632+AQ1637+AQ1625+AQ1618</f>
        <v>3422.42</v>
      </c>
      <c r="AR1647" s="210">
        <f>AR1632+AR1637+AR1625</f>
        <v>1869.18</v>
      </c>
      <c r="AS1647" s="210">
        <f>AS1637+AS1625</f>
        <v>816.62</v>
      </c>
      <c r="AT1647" s="208" t="s">
        <v>11</v>
      </c>
    </row>
    <row r="1648" spans="1:46" x14ac:dyDescent="0.25">
      <c r="F1648" s="176"/>
      <c r="G1648" s="176"/>
      <c r="H1648" s="1"/>
      <c r="I1648" s="214"/>
      <c r="J1648" s="40" t="s">
        <v>5</v>
      </c>
      <c r="K1648" s="207">
        <f>K1647+K1646+K1645+0.01</f>
        <v>48617267.559999995</v>
      </c>
      <c r="L1648" s="181">
        <f>L1647+L1646+L1645</f>
        <v>823063.85999999987</v>
      </c>
      <c r="M1648" s="181">
        <f>M1647+M1646+M1645</f>
        <v>1091337.8399999999</v>
      </c>
      <c r="N1648" s="205">
        <f t="shared" ref="N1648:O1648" si="1466">N1647+N1646+N1645</f>
        <v>1398103.09</v>
      </c>
      <c r="O1648" s="181">
        <f t="shared" si="1466"/>
        <v>1233066.2599999998</v>
      </c>
      <c r="P1648" s="181">
        <f t="shared" ref="P1648:X1648" si="1467">P1647+P1646+P1645</f>
        <v>1641733.3800000001</v>
      </c>
      <c r="Q1648" s="181">
        <f t="shared" si="1467"/>
        <v>1630335.7</v>
      </c>
      <c r="R1648" s="181">
        <f t="shared" si="1467"/>
        <v>1650691.2899999998</v>
      </c>
      <c r="S1648" s="181">
        <f t="shared" si="1467"/>
        <v>1659883.3400000003</v>
      </c>
      <c r="T1648" s="181">
        <f t="shared" si="1467"/>
        <v>1672978.834</v>
      </c>
      <c r="U1648" s="181">
        <f t="shared" si="1467"/>
        <v>1524363.6099999999</v>
      </c>
      <c r="V1648" s="181">
        <f t="shared" si="1467"/>
        <v>1293675.2000000002</v>
      </c>
      <c r="W1648" s="181">
        <f t="shared" si="1467"/>
        <v>1295276.6099999999</v>
      </c>
      <c r="X1648" s="181">
        <f t="shared" si="1467"/>
        <v>1279283.92</v>
      </c>
      <c r="Y1648" s="181">
        <f>Y1647+Y1646+Y1645</f>
        <v>1209142.1199999996</v>
      </c>
      <c r="Z1648" s="519">
        <f t="shared" ref="Z1648" si="1468">Z1647+Z1646+Z1645</f>
        <v>1474004.9300000002</v>
      </c>
      <c r="AA1648" s="562">
        <f t="shared" ref="AA1648:AB1648" si="1469">AA1647+AA1646+AA1645</f>
        <v>1348847.97</v>
      </c>
      <c r="AB1648" s="181">
        <f t="shared" si="1469"/>
        <v>1303642.49</v>
      </c>
      <c r="AC1648" s="181">
        <f t="shared" ref="AC1648" si="1470">AC1647+AC1646+AC1645</f>
        <v>1260412.52</v>
      </c>
      <c r="AD1648" s="181">
        <f t="shared" ref="AD1648:AQ1648" si="1471">AD1647+AD1646+AD1645</f>
        <v>1271185.19</v>
      </c>
      <c r="AE1648" s="181">
        <f t="shared" si="1471"/>
        <v>1282236.3699999999</v>
      </c>
      <c r="AF1648" s="181">
        <f t="shared" si="1471"/>
        <v>1226358.4200000002</v>
      </c>
      <c r="AG1648" s="181">
        <f t="shared" si="1471"/>
        <v>1238089.82</v>
      </c>
      <c r="AH1648" s="181">
        <f t="shared" si="1471"/>
        <v>1250119.6600000001</v>
      </c>
      <c r="AI1648" s="181">
        <f t="shared" si="1471"/>
        <v>1262456.19</v>
      </c>
      <c r="AJ1648" s="181">
        <f t="shared" si="1471"/>
        <v>1346101.49</v>
      </c>
      <c r="AK1648" s="181">
        <f t="shared" si="1471"/>
        <v>1384231.06</v>
      </c>
      <c r="AL1648" s="181">
        <f t="shared" si="1471"/>
        <v>1383742.46</v>
      </c>
      <c r="AM1648" s="181">
        <f>AM1647+AM1646+AM1645</f>
        <v>1383240.09</v>
      </c>
      <c r="AN1648" s="181">
        <f t="shared" si="1471"/>
        <v>1382724.04</v>
      </c>
      <c r="AO1648" s="181">
        <f t="shared" si="1471"/>
        <v>1382196.19</v>
      </c>
      <c r="AP1648" s="181">
        <f t="shared" ref="AP1648" si="1472">AP1647+AP1646+AP1645</f>
        <v>1381653.1300000001</v>
      </c>
      <c r="AQ1648" s="181">
        <f t="shared" si="1471"/>
        <v>1381095.22</v>
      </c>
      <c r="AR1648" s="181">
        <f t="shared" ref="AR1648" si="1473">AR1647+AR1646+AR1645</f>
        <v>703586.7300000001</v>
      </c>
      <c r="AS1648" s="181">
        <f t="shared" ref="AS1648" si="1474">AS1647+AS1646+AS1645</f>
        <v>545219.91</v>
      </c>
      <c r="AT1648" s="178" t="s">
        <v>11</v>
      </c>
    </row>
    <row r="1649" spans="1:46" x14ac:dyDescent="0.25">
      <c r="F1649" s="176"/>
      <c r="G1649" s="176"/>
      <c r="H1649" s="275" t="s">
        <v>434</v>
      </c>
      <c r="I1649" s="153"/>
      <c r="J1649" s="153"/>
      <c r="K1649" s="344" t="s">
        <v>718</v>
      </c>
      <c r="L1649" s="181"/>
      <c r="M1649" s="181"/>
      <c r="N1649" s="205"/>
      <c r="O1649" s="205"/>
      <c r="P1649" s="205">
        <v>62788</v>
      </c>
      <c r="Q1649" s="205"/>
      <c r="R1649" s="181"/>
      <c r="S1649" s="181"/>
      <c r="T1649" s="181"/>
      <c r="U1649" s="181"/>
      <c r="V1649" s="181"/>
      <c r="W1649" s="181"/>
      <c r="X1649" s="181"/>
      <c r="Y1649" s="181"/>
      <c r="Z1649" s="519"/>
      <c r="AA1649" s="562"/>
      <c r="AB1649" s="181"/>
      <c r="AC1649" s="181"/>
      <c r="AD1649" s="181"/>
      <c r="AE1649" s="181"/>
      <c r="AF1649" s="181"/>
      <c r="AG1649" s="181"/>
      <c r="AH1649" s="181"/>
      <c r="AI1649" s="181"/>
      <c r="AJ1649" s="181"/>
      <c r="AK1649" s="181"/>
      <c r="AL1649" s="181"/>
      <c r="AM1649" s="181"/>
      <c r="AN1649" s="181"/>
      <c r="AO1649" s="181"/>
      <c r="AP1649" s="181"/>
      <c r="AQ1649" s="181"/>
      <c r="AR1649" s="181"/>
      <c r="AS1649" s="181"/>
      <c r="AT1649" s="178"/>
    </row>
    <row r="1650" spans="1:46" ht="13.8" thickBot="1" x14ac:dyDescent="0.3">
      <c r="F1650" s="176"/>
      <c r="G1650" s="176"/>
      <c r="H1650" s="276" t="s">
        <v>435</v>
      </c>
      <c r="I1650" s="277"/>
      <c r="J1650" s="277"/>
      <c r="K1650" s="345" t="s">
        <v>718</v>
      </c>
      <c r="L1650" s="182"/>
      <c r="M1650" s="182"/>
      <c r="N1650" s="210"/>
      <c r="O1650" s="210">
        <v>23500</v>
      </c>
      <c r="P1650" s="210"/>
      <c r="Q1650" s="205"/>
      <c r="R1650" s="181"/>
      <c r="S1650" s="181"/>
      <c r="T1650" s="181"/>
      <c r="U1650" s="181"/>
      <c r="V1650" s="181"/>
      <c r="W1650" s="181"/>
      <c r="X1650" s="181"/>
      <c r="Y1650" s="181"/>
      <c r="Z1650" s="519"/>
      <c r="AA1650" s="562"/>
      <c r="AB1650" s="181"/>
      <c r="AC1650" s="181"/>
      <c r="AD1650" s="181"/>
      <c r="AE1650" s="181"/>
      <c r="AF1650" s="181"/>
      <c r="AG1650" s="181"/>
      <c r="AH1650" s="181"/>
      <c r="AI1650" s="181"/>
      <c r="AJ1650" s="181"/>
      <c r="AK1650" s="181"/>
      <c r="AL1650" s="181"/>
      <c r="AM1650" s="181"/>
      <c r="AN1650" s="181"/>
      <c r="AO1650" s="181"/>
      <c r="AP1650" s="181"/>
      <c r="AQ1650" s="181"/>
      <c r="AR1650" s="181"/>
      <c r="AS1650" s="181"/>
      <c r="AT1650" s="178"/>
    </row>
    <row r="1651" spans="1:46" x14ac:dyDescent="0.25">
      <c r="F1651" s="176"/>
      <c r="G1651" s="176"/>
      <c r="H1651" s="1"/>
      <c r="I1651" s="214"/>
      <c r="J1651" s="40" t="s">
        <v>5</v>
      </c>
      <c r="L1651" s="174"/>
      <c r="M1651" s="174"/>
      <c r="N1651" s="205">
        <f>N1650+N1649+N1648</f>
        <v>1398103.09</v>
      </c>
      <c r="O1651" s="205">
        <f>O1650+O1649+O1648</f>
        <v>1256566.2599999998</v>
      </c>
      <c r="P1651" s="205">
        <f>P1650+P1649+P1648</f>
        <v>1704521.3800000001</v>
      </c>
      <c r="Q1651" s="205"/>
      <c r="R1651" s="174"/>
      <c r="S1651" s="174"/>
      <c r="T1651" s="174"/>
      <c r="U1651" s="174"/>
      <c r="V1651" s="174"/>
      <c r="W1651" s="174"/>
      <c r="X1651" s="174"/>
      <c r="Y1651" s="174"/>
      <c r="Z1651" s="523"/>
      <c r="AA1651" s="567"/>
      <c r="AB1651" s="174"/>
      <c r="AC1651" s="174"/>
      <c r="AD1651" s="176"/>
      <c r="AE1651" s="174"/>
      <c r="AF1651" s="174"/>
      <c r="AG1651" s="174"/>
      <c r="AH1651" s="174"/>
      <c r="AI1651" s="174"/>
      <c r="AJ1651" s="174"/>
      <c r="AK1651" s="174"/>
      <c r="AL1651" s="174"/>
      <c r="AM1651" s="174"/>
      <c r="AN1651" s="174"/>
      <c r="AO1651" s="174"/>
      <c r="AP1651" s="174"/>
      <c r="AQ1651" s="174"/>
      <c r="AR1651" s="174"/>
      <c r="AS1651" s="174"/>
      <c r="AT1651" s="174"/>
    </row>
    <row r="1652" spans="1:46" x14ac:dyDescent="0.25">
      <c r="F1652" s="176"/>
      <c r="G1652" s="176"/>
      <c r="H1652" s="1"/>
      <c r="I1652" s="1"/>
      <c r="J1652" s="3"/>
      <c r="L1652" s="174"/>
      <c r="M1652" s="174"/>
      <c r="N1652" s="303"/>
      <c r="O1652" s="174"/>
      <c r="P1652" s="174"/>
      <c r="Q1652" s="174"/>
      <c r="R1652" s="174"/>
      <c r="S1652" s="174"/>
      <c r="T1652" s="174"/>
      <c r="U1652" s="174"/>
      <c r="V1652" s="174"/>
      <c r="W1652" s="174"/>
      <c r="X1652" s="174"/>
      <c r="Y1652" s="174"/>
      <c r="Z1652" s="523"/>
      <c r="AA1652" s="567"/>
      <c r="AB1652" s="174"/>
      <c r="AC1652" s="174"/>
      <c r="AD1652" s="176"/>
      <c r="AE1652" s="174"/>
      <c r="AF1652" s="174"/>
      <c r="AG1652" s="174"/>
      <c r="AH1652" s="174"/>
      <c r="AI1652" s="174"/>
      <c r="AJ1652" s="174"/>
      <c r="AK1652" s="174"/>
      <c r="AL1652" s="174"/>
      <c r="AM1652" s="174"/>
      <c r="AN1652" s="174"/>
      <c r="AO1652" s="174"/>
      <c r="AP1652" s="174"/>
      <c r="AQ1652" s="174"/>
      <c r="AR1652" s="174"/>
      <c r="AS1652" s="174"/>
      <c r="AT1652" s="174"/>
    </row>
    <row r="1653" spans="1:46" x14ac:dyDescent="0.25">
      <c r="F1653" s="176"/>
      <c r="G1653" s="176"/>
      <c r="H1653" s="1"/>
      <c r="I1653" s="178" t="s">
        <v>416</v>
      </c>
      <c r="J1653" s="236" t="s">
        <v>1</v>
      </c>
      <c r="K1653" s="237">
        <f>K1645+K1641</f>
        <v>190135441.19999999</v>
      </c>
      <c r="L1653" s="238">
        <f>L1645+L1641</f>
        <v>6151199.6399999997</v>
      </c>
      <c r="M1653" s="238">
        <f t="shared" ref="M1653:X1653" si="1475">M1645+M1641</f>
        <v>6267774.6799999997</v>
      </c>
      <c r="N1653" s="239">
        <f t="shared" si="1475"/>
        <v>6953601.5899999999</v>
      </c>
      <c r="O1653" s="238">
        <f t="shared" ref="O1653:R1654" si="1476">O1645+O1641</f>
        <v>6943684.5</v>
      </c>
      <c r="P1653" s="238">
        <f>P1645+P1641</f>
        <v>7638988.5</v>
      </c>
      <c r="Q1653" s="238">
        <f>Q1645+Q1641</f>
        <v>7548519.54</v>
      </c>
      <c r="R1653" s="238">
        <f>R1645+R1641</f>
        <v>6614904.9699999997</v>
      </c>
      <c r="S1653" s="238">
        <f t="shared" si="1475"/>
        <v>6529642.4500000002</v>
      </c>
      <c r="T1653" s="238">
        <f t="shared" si="1475"/>
        <v>6515840.2439999999</v>
      </c>
      <c r="U1653" s="238">
        <f t="shared" si="1475"/>
        <v>5825126.7699999996</v>
      </c>
      <c r="V1653" s="238">
        <f t="shared" ref="V1653" si="1477">V1645+V1641</f>
        <v>5815932.8399999999</v>
      </c>
      <c r="W1653" s="238">
        <f t="shared" si="1475"/>
        <v>5417349.4100000001</v>
      </c>
      <c r="X1653" s="238">
        <f t="shared" si="1475"/>
        <v>6030232.8499999996</v>
      </c>
      <c r="Y1653" s="238">
        <f>Y1645+Y1641</f>
        <v>5557696.9699999997</v>
      </c>
      <c r="Z1653" s="238">
        <f>Z1645+Z1641</f>
        <v>6590735.8300000001</v>
      </c>
      <c r="AA1653" s="238">
        <f>AA1645+AA1641</f>
        <v>5996990.6399999997</v>
      </c>
      <c r="AB1653" s="238">
        <f t="shared" ref="AB1653:AQ1653" si="1478">AB1645+AB1641</f>
        <v>5251557.88</v>
      </c>
      <c r="AC1653" s="238">
        <f t="shared" si="1478"/>
        <v>4721996.6500000004</v>
      </c>
      <c r="AD1653" s="238">
        <f t="shared" si="1478"/>
        <v>4560912.59</v>
      </c>
      <c r="AE1653" s="238">
        <f t="shared" si="1478"/>
        <v>4255154.2799999993</v>
      </c>
      <c r="AF1653" s="238">
        <f t="shared" si="1478"/>
        <v>4081784.5700000003</v>
      </c>
      <c r="AG1653" s="238">
        <f t="shared" si="1478"/>
        <v>3530328.3200000003</v>
      </c>
      <c r="AH1653" s="238">
        <f t="shared" si="1478"/>
        <v>3479191.12</v>
      </c>
      <c r="AI1653" s="238">
        <f t="shared" si="1478"/>
        <v>3098381.65</v>
      </c>
      <c r="AJ1653" s="238">
        <f t="shared" si="1478"/>
        <v>3092908.59</v>
      </c>
      <c r="AK1653" s="238">
        <f t="shared" si="1478"/>
        <v>3052778.62</v>
      </c>
      <c r="AL1653" s="238">
        <f t="shared" si="1478"/>
        <v>3008004.38</v>
      </c>
      <c r="AM1653" s="238">
        <f t="shared" si="1478"/>
        <v>2683591.5499999998</v>
      </c>
      <c r="AN1653" s="238">
        <f t="shared" si="1478"/>
        <v>2454549.75</v>
      </c>
      <c r="AO1653" s="238">
        <f t="shared" si="1478"/>
        <v>2450890.63</v>
      </c>
      <c r="AP1653" s="238">
        <f t="shared" si="1478"/>
        <v>2312620.8200000003</v>
      </c>
      <c r="AQ1653" s="238">
        <f t="shared" si="1478"/>
        <v>2174750.92</v>
      </c>
      <c r="AR1653" s="238">
        <f t="shared" ref="AR1653" si="1479">AR1645+AR1641</f>
        <v>1301717.55</v>
      </c>
      <c r="AS1653" s="238">
        <f t="shared" ref="AS1653" si="1480">AS1645+AS1641</f>
        <v>739403.29</v>
      </c>
      <c r="AT1653" s="240" t="s">
        <v>11</v>
      </c>
    </row>
    <row r="1654" spans="1:46" x14ac:dyDescent="0.25">
      <c r="F1654" s="176"/>
      <c r="G1654" s="176"/>
      <c r="H1654" s="1"/>
      <c r="I1654" s="1"/>
      <c r="J1654" s="236" t="s">
        <v>2</v>
      </c>
      <c r="K1654" s="237">
        <f>K1646+K1642</f>
        <v>45695922.629999988</v>
      </c>
      <c r="L1654" s="238">
        <f>L1646+L1642</f>
        <v>1830014.7</v>
      </c>
      <c r="M1654" s="238">
        <f t="shared" ref="M1654:X1654" si="1481">M1646+M1642</f>
        <v>1833610.5499999998</v>
      </c>
      <c r="N1654" s="239">
        <f t="shared" si="1481"/>
        <v>1688406.0899999999</v>
      </c>
      <c r="O1654" s="238">
        <f t="shared" si="1476"/>
        <v>1442028.99</v>
      </c>
      <c r="P1654" s="238">
        <f>P1646+P1642</f>
        <v>1343068.8</v>
      </c>
      <c r="Q1654" s="238">
        <f>Q1646+Q1642</f>
        <v>1264707.96</v>
      </c>
      <c r="R1654" s="238">
        <f t="shared" si="1476"/>
        <v>1153331.24</v>
      </c>
      <c r="S1654" s="238">
        <f t="shared" si="1481"/>
        <v>1247499.28</v>
      </c>
      <c r="T1654" s="238">
        <f>T1646+T1642</f>
        <v>1292412.83</v>
      </c>
      <c r="U1654" s="238">
        <f t="shared" si="1481"/>
        <v>1098454</v>
      </c>
      <c r="V1654" s="238">
        <f t="shared" ref="V1654" si="1482">V1646+V1642</f>
        <v>1110027.75</v>
      </c>
      <c r="W1654" s="238">
        <f t="shared" si="1481"/>
        <v>918696.71</v>
      </c>
      <c r="X1654" s="238">
        <f t="shared" si="1481"/>
        <v>1436329.91</v>
      </c>
      <c r="Y1654" s="238">
        <f t="shared" ref="Y1654" si="1483">Y1646+Y1642</f>
        <v>1238337.53</v>
      </c>
      <c r="Z1654" s="238">
        <f>Z1646+Z1642</f>
        <v>1749224.24</v>
      </c>
      <c r="AA1654" s="238">
        <f t="shared" ref="AA1654:AQ1654" si="1484">AA1646+AA1642</f>
        <v>1527270.49</v>
      </c>
      <c r="AB1654" s="238">
        <f t="shared" si="1484"/>
        <v>1325049.9600000002</v>
      </c>
      <c r="AC1654" s="238">
        <f t="shared" si="1484"/>
        <v>1172146.52</v>
      </c>
      <c r="AD1654" s="238">
        <f t="shared" si="1484"/>
        <v>1029938.67</v>
      </c>
      <c r="AE1654" s="238">
        <f t="shared" si="1484"/>
        <v>904322.25</v>
      </c>
      <c r="AF1654" s="238">
        <f t="shared" si="1484"/>
        <v>787593.75</v>
      </c>
      <c r="AG1654" s="238">
        <f t="shared" si="1484"/>
        <v>674551.25</v>
      </c>
      <c r="AH1654" s="238">
        <f t="shared" si="1484"/>
        <v>582618.75</v>
      </c>
      <c r="AI1654" s="238">
        <f t="shared" si="1484"/>
        <v>496318.75</v>
      </c>
      <c r="AJ1654" s="238">
        <f t="shared" si="1484"/>
        <v>498737.62</v>
      </c>
      <c r="AK1654" s="238">
        <f t="shared" si="1484"/>
        <v>459119.74</v>
      </c>
      <c r="AL1654" s="238">
        <f t="shared" si="1484"/>
        <v>381650.55</v>
      </c>
      <c r="AM1654" s="238">
        <f t="shared" si="1484"/>
        <v>305729.3</v>
      </c>
      <c r="AN1654" s="238">
        <f t="shared" si="1484"/>
        <v>241428.27000000002</v>
      </c>
      <c r="AO1654" s="238">
        <f t="shared" si="1484"/>
        <v>182663.24</v>
      </c>
      <c r="AP1654" s="238">
        <f t="shared" si="1484"/>
        <v>127118.51</v>
      </c>
      <c r="AQ1654" s="238">
        <f t="shared" si="1484"/>
        <v>73884.38</v>
      </c>
      <c r="AR1654" s="238">
        <f t="shared" ref="AR1654" si="1485">AR1646+AR1642</f>
        <v>33262.5</v>
      </c>
      <c r="AS1654" s="238">
        <f t="shared" ref="AS1654" si="1486">AS1646+AS1642</f>
        <v>8531.26</v>
      </c>
      <c r="AT1654" s="240" t="s">
        <v>11</v>
      </c>
    </row>
    <row r="1655" spans="1:46" ht="13.8" thickBot="1" x14ac:dyDescent="0.3">
      <c r="F1655" s="176"/>
      <c r="G1655" s="176"/>
      <c r="H1655" s="1"/>
      <c r="I1655" s="1"/>
      <c r="J1655" s="241" t="s">
        <v>386</v>
      </c>
      <c r="K1655" s="242">
        <f>K1647</f>
        <v>965845.05999999994</v>
      </c>
      <c r="L1655" s="243">
        <f>L1647</f>
        <v>15012.549999999997</v>
      </c>
      <c r="M1655" s="243">
        <f t="shared" ref="M1655:X1655" si="1487">M1647</f>
        <v>25966.569999999996</v>
      </c>
      <c r="N1655" s="244">
        <f t="shared" si="1487"/>
        <v>34154.900000000009</v>
      </c>
      <c r="O1655" s="243">
        <f t="shared" si="1487"/>
        <v>33506.230000000003</v>
      </c>
      <c r="P1655" s="243">
        <f>P1647+P1649</f>
        <v>111991.04999999999</v>
      </c>
      <c r="Q1655" s="243">
        <f>Q1647</f>
        <v>38058.58</v>
      </c>
      <c r="R1655" s="243">
        <f>R1647</f>
        <v>43175.810000000005</v>
      </c>
      <c r="S1655" s="243">
        <f t="shared" si="1487"/>
        <v>40646.340000000004</v>
      </c>
      <c r="T1655" s="243">
        <f t="shared" si="1487"/>
        <v>38058.249999999993</v>
      </c>
      <c r="U1655" s="243">
        <f t="shared" si="1487"/>
        <v>35576.590000000004</v>
      </c>
      <c r="V1655" s="243">
        <f>V1647</f>
        <v>33463.360000000001</v>
      </c>
      <c r="W1655" s="243">
        <f t="shared" si="1487"/>
        <v>31600.49</v>
      </c>
      <c r="X1655" s="243">
        <f t="shared" si="1487"/>
        <v>29736.180000000004</v>
      </c>
      <c r="Y1655" s="243">
        <f t="shared" ref="Y1655" si="1488">Y1647</f>
        <v>27932.609999999993</v>
      </c>
      <c r="Z1655" s="243">
        <f t="shared" ref="Z1655" si="1489">Z1647</f>
        <v>35675.989999999991</v>
      </c>
      <c r="AA1655" s="243">
        <f t="shared" ref="AA1655:AQ1655" si="1490">AA1647</f>
        <v>33937.47</v>
      </c>
      <c r="AB1655" s="243">
        <f t="shared" si="1490"/>
        <v>32007.769999999997</v>
      </c>
      <c r="AC1655" s="243">
        <f t="shared" si="1490"/>
        <v>30138.1</v>
      </c>
      <c r="AD1655" s="243">
        <f t="shared" si="1490"/>
        <v>28287.68</v>
      </c>
      <c r="AE1655" s="243">
        <f t="shared" si="1490"/>
        <v>26416.09</v>
      </c>
      <c r="AF1655" s="243">
        <f t="shared" si="1490"/>
        <v>24573.85</v>
      </c>
      <c r="AG1655" s="243">
        <f t="shared" si="1490"/>
        <v>22761.5</v>
      </c>
      <c r="AH1655" s="243">
        <f t="shared" si="1490"/>
        <v>20928.54</v>
      </c>
      <c r="AI1655" s="243">
        <f t="shared" si="1490"/>
        <v>19074.54</v>
      </c>
      <c r="AJ1655" s="243">
        <f t="shared" si="1490"/>
        <v>17199.03</v>
      </c>
      <c r="AK1655" s="243">
        <f t="shared" si="1490"/>
        <v>15301.45</v>
      </c>
      <c r="AL1655" s="243">
        <f t="shared" si="1490"/>
        <v>13381.279999999999</v>
      </c>
      <c r="AM1655" s="243">
        <f t="shared" si="1490"/>
        <v>11437.990000000002</v>
      </c>
      <c r="AN1655" s="243">
        <f t="shared" si="1490"/>
        <v>9471.02</v>
      </c>
      <c r="AO1655" s="243">
        <f t="shared" si="1490"/>
        <v>7479.82</v>
      </c>
      <c r="AP1655" s="243">
        <f t="shared" si="1490"/>
        <v>5463.8099999999995</v>
      </c>
      <c r="AQ1655" s="243">
        <f t="shared" si="1490"/>
        <v>3422.42</v>
      </c>
      <c r="AR1655" s="243">
        <f t="shared" ref="AR1655" si="1491">AR1647</f>
        <v>1869.18</v>
      </c>
      <c r="AS1655" s="243">
        <f t="shared" ref="AS1655" si="1492">AS1647</f>
        <v>816.62</v>
      </c>
      <c r="AT1655" s="245" t="s">
        <v>11</v>
      </c>
    </row>
    <row r="1656" spans="1:46" s="217" customFormat="1" ht="13.8" thickBot="1" x14ac:dyDescent="0.3">
      <c r="A1656" s="216"/>
      <c r="B1656" s="216"/>
      <c r="C1656" s="311"/>
      <c r="F1656" s="218"/>
      <c r="G1656" s="218"/>
      <c r="I1656" s="278" t="s">
        <v>436</v>
      </c>
      <c r="J1656" s="229" t="s">
        <v>5</v>
      </c>
      <c r="K1656" s="230">
        <f>K1655+K1654+K1653+0.01</f>
        <v>236797208.89999998</v>
      </c>
      <c r="L1656" s="231">
        <f>L1655+L1654+L1653</f>
        <v>7996226.8899999997</v>
      </c>
      <c r="M1656" s="231">
        <f t="shared" ref="M1656:AQ1656" si="1493">M1655+M1654+M1653</f>
        <v>8127351.7999999998</v>
      </c>
      <c r="N1656" s="232">
        <f>N1655+N1654+N1653+N1650</f>
        <v>8676162.5800000001</v>
      </c>
      <c r="O1656" s="231">
        <f>O1655+O1654+O1653+O1650+O1649</f>
        <v>8442719.7200000007</v>
      </c>
      <c r="P1656" s="231">
        <f>P1655+P1654+P1653</f>
        <v>9094048.3499999996</v>
      </c>
      <c r="Q1656" s="231">
        <f>Q1655+Q1654+Q1653+Q1650+Q1649</f>
        <v>8851286.0800000001</v>
      </c>
      <c r="R1656" s="231">
        <f>R1655+R1654+R1653+R1650+R1649</f>
        <v>7811412.0199999996</v>
      </c>
      <c r="S1656" s="231">
        <f t="shared" si="1493"/>
        <v>7817788.0700000003</v>
      </c>
      <c r="T1656" s="231">
        <f t="shared" si="1493"/>
        <v>7846311.324</v>
      </c>
      <c r="U1656" s="231">
        <f t="shared" si="1493"/>
        <v>6959157.3599999994</v>
      </c>
      <c r="V1656" s="231">
        <f t="shared" ref="V1656" si="1494">V1655+V1654+V1653</f>
        <v>6959423.9500000002</v>
      </c>
      <c r="W1656" s="231">
        <f t="shared" si="1493"/>
        <v>6367646.6100000003</v>
      </c>
      <c r="X1656" s="231">
        <f t="shared" si="1493"/>
        <v>7496298.9399999995</v>
      </c>
      <c r="Y1656" s="231">
        <f t="shared" si="1493"/>
        <v>6823967.1099999994</v>
      </c>
      <c r="Z1656" s="231">
        <f t="shared" si="1493"/>
        <v>8375636.0600000005</v>
      </c>
      <c r="AA1656" s="231">
        <f t="shared" si="1493"/>
        <v>7558198.5999999996</v>
      </c>
      <c r="AB1656" s="231">
        <f t="shared" si="1493"/>
        <v>6608615.6100000003</v>
      </c>
      <c r="AC1656" s="231">
        <f t="shared" si="1493"/>
        <v>5924281.2700000005</v>
      </c>
      <c r="AD1656" s="231">
        <f t="shared" si="1493"/>
        <v>5619138.9399999995</v>
      </c>
      <c r="AE1656" s="231">
        <f t="shared" si="1493"/>
        <v>5185892.6199999992</v>
      </c>
      <c r="AF1656" s="231">
        <f t="shared" si="1493"/>
        <v>4893952.17</v>
      </c>
      <c r="AG1656" s="231">
        <f t="shared" si="1493"/>
        <v>4227641.07</v>
      </c>
      <c r="AH1656" s="231">
        <f t="shared" si="1493"/>
        <v>4082738.41</v>
      </c>
      <c r="AI1656" s="231">
        <f t="shared" si="1493"/>
        <v>3613774.94</v>
      </c>
      <c r="AJ1656" s="231">
        <f t="shared" ref="AJ1656" si="1495">AJ1655+AJ1654+AJ1653</f>
        <v>3608845.2399999998</v>
      </c>
      <c r="AK1656" s="231">
        <f t="shared" si="1493"/>
        <v>3527199.81</v>
      </c>
      <c r="AL1656" s="231">
        <f>AL1655+AL1654+AL1653</f>
        <v>3403036.21</v>
      </c>
      <c r="AM1656" s="231">
        <f t="shared" ref="AM1656" si="1496">AM1655+AM1654+AM1653</f>
        <v>3000758.84</v>
      </c>
      <c r="AN1656" s="231">
        <f t="shared" si="1493"/>
        <v>2705449.04</v>
      </c>
      <c r="AO1656" s="231">
        <f t="shared" si="1493"/>
        <v>2641033.69</v>
      </c>
      <c r="AP1656" s="231">
        <f t="shared" si="1493"/>
        <v>2445203.14</v>
      </c>
      <c r="AQ1656" s="231">
        <f t="shared" si="1493"/>
        <v>2252057.7199999997</v>
      </c>
      <c r="AR1656" s="231">
        <f t="shared" ref="AR1656" si="1497">AR1655+AR1654+AR1653</f>
        <v>1336849.23</v>
      </c>
      <c r="AS1656" s="231">
        <f t="shared" ref="AS1656" si="1498">AS1655+AS1654+AS1653</f>
        <v>748751.17</v>
      </c>
      <c r="AT1656" s="233" t="s">
        <v>11</v>
      </c>
    </row>
    <row r="1657" spans="1:46" s="222" customFormat="1" ht="14.4" thickTop="1" thickBot="1" x14ac:dyDescent="0.3">
      <c r="A1657" s="221"/>
      <c r="B1657" s="221"/>
      <c r="C1657" s="312"/>
      <c r="F1657" s="223"/>
      <c r="G1657" s="223"/>
      <c r="K1657" s="224"/>
      <c r="U1657" s="225"/>
      <c r="V1657" s="225"/>
      <c r="W1657" s="225"/>
      <c r="X1657" s="225"/>
      <c r="Y1657" s="225"/>
      <c r="Z1657" s="524"/>
      <c r="AA1657" s="568"/>
      <c r="AB1657" s="225"/>
      <c r="AC1657" s="225"/>
      <c r="AD1657" s="225"/>
      <c r="AE1657" s="225"/>
      <c r="AF1657" s="225"/>
      <c r="AG1657" s="225"/>
      <c r="AH1657" s="225"/>
      <c r="AI1657" s="225"/>
      <c r="AJ1657" s="225"/>
      <c r="AK1657" s="225"/>
      <c r="AL1657" s="225"/>
      <c r="AM1657" s="225"/>
      <c r="AN1657" s="225"/>
      <c r="AO1657" s="225"/>
      <c r="AP1657" s="225"/>
      <c r="AQ1657" s="225"/>
      <c r="AR1657" s="225"/>
      <c r="AS1657" s="225"/>
      <c r="AT1657" s="225"/>
    </row>
    <row r="1658" spans="1:46" s="178" customFormat="1" ht="13.8" thickTop="1" x14ac:dyDescent="0.25">
      <c r="A1658" s="177"/>
      <c r="B1658" s="177"/>
      <c r="C1658" s="306"/>
      <c r="H1658" s="179"/>
      <c r="I1658" s="179"/>
      <c r="J1658" s="179" t="s">
        <v>32</v>
      </c>
      <c r="K1658" s="180" t="s">
        <v>1</v>
      </c>
      <c r="L1658" s="181">
        <f t="shared" ref="L1658:N1659" si="1499">L15+L70+L161+L213+L307+L368+L432+L523+L632+L705+L826+L1526+L1541</f>
        <v>3988236.98</v>
      </c>
      <c r="M1658" s="181">
        <f t="shared" si="1499"/>
        <v>4104720.85</v>
      </c>
      <c r="N1658" s="181">
        <f t="shared" si="1499"/>
        <v>4483180.1100000003</v>
      </c>
      <c r="O1658" s="181">
        <f>O15+O70+O213+O307+O368+O432+O523+O632+O705+O826+O1008+O1526+O1541+O1606+O1611</f>
        <v>3857172.42</v>
      </c>
      <c r="P1658" s="181">
        <f>P15+P70+P213+P307+P368+P432+P523+P632+P705+P826+P929+P1008+P1541+P1606+P1611</f>
        <v>4390990.330000001</v>
      </c>
      <c r="Q1658" s="181">
        <f>Q15+Q70+Q213+Q368+Q432+Q523+Q632+Q705+Q826+Q929+Q1008+Q1075+Q1541+Q1606+Q1611</f>
        <v>4227831.4800000004</v>
      </c>
      <c r="R1658" s="181">
        <f>R15+R70+R213+R432+R523+R632+R705+R826+R929+R1008+R1075+R1127+R1541+R1606+R1611</f>
        <v>3251246.23</v>
      </c>
      <c r="S1658" s="181">
        <f>S15+S70+S213+S432+S523+S632+S705+S826+S929+S1008+S1075+S1127+S1182+S1541+S1606+S1611</f>
        <v>3268284.19</v>
      </c>
      <c r="T1658" s="181">
        <f>T15+T70+T432+T523+T632+T705+T826+T929+T1008+T1075+T1127+T1182+T1246+T1541+T1606+T1611</f>
        <v>3292242.15</v>
      </c>
      <c r="U1658" s="181">
        <f>U70+U432+U523+U632+U705+U826+U929+U1008+U1075+U1127+U1182+U1246+U1541</f>
        <v>2895146.76</v>
      </c>
      <c r="V1658" s="181">
        <f>V70+V432+V523+V632+V705+V826+V929+V1008+V1075+V1127+V1182+V1246+V1295+V1541</f>
        <v>3040064.18</v>
      </c>
      <c r="W1658" s="181">
        <f>W70+W432+W523+W632+W826+W929+W1008+W1075+W1127+W1182+W1246+W1295+W1399+W1541</f>
        <v>2659496.21</v>
      </c>
      <c r="X1658" s="181">
        <f>X432+X523+X632+X826+X929+X1008+X1075+X1127+X1182+X1246+X1295+X1353+X1399</f>
        <v>2935000</v>
      </c>
      <c r="Y1658" s="181">
        <f>Y432+Y523+Y632+Y826+Y929+Y1008+Y1075+Y1127+Y1182+Y1246+Y1295+Y1353+Y1399+Y1488</f>
        <v>2620000</v>
      </c>
      <c r="Z1658" s="519">
        <f>Z432+Z523+Z632+Z826+Z929+Z1008+Z1075+Z1127+Z1182+Z1246+Z1295+Z1353+Z1399+Z1439+Z1488</f>
        <v>2940000</v>
      </c>
      <c r="AA1658" s="562">
        <f>AA432+AA523+AA826+AA929+AA1008+AA1075+AA1127+AA1182+AA1246+AA1295+AA1353+AA1399+AA1439+AA1488</f>
        <v>2720000</v>
      </c>
      <c r="AB1658" s="181">
        <f>AB523+AB826+AB929+AB1008+AB1075+AB1127+AB1182+AB1246+AB1295+AB1353+AB1399+AB1439+AB1488</f>
        <v>2210000</v>
      </c>
      <c r="AC1658" s="181">
        <f>AC929+AC1008+AC1075+AC1127+AC1182+AC1246+AC1295+AC1353+AC1399+AC1439+AC1488</f>
        <v>1910000</v>
      </c>
      <c r="AD1658" s="181">
        <f>AD929+AD1008+AD1075+AD1127+AD1182+AD1246+AD1295+AD1353+AD1399+AD1439+AD1488</f>
        <v>1855000</v>
      </c>
      <c r="AE1658" s="181">
        <f>AE929+AE1075+AE1127+AE1182+AE1246+AE1295+AE1353+AE1399+AE1439+AE1488</f>
        <v>1765000</v>
      </c>
      <c r="AF1658" s="181">
        <f>AF929+AF1127+AF1182+AF1246+AF1295+AF1353+AF1399+AF1439+AF1488</f>
        <v>1685000</v>
      </c>
      <c r="AG1658" s="181">
        <f>AG929+AG1182+AG1246+AG1295+AG1353+AG1399+AG1439+AG1488</f>
        <v>1325000</v>
      </c>
      <c r="AH1658" s="181">
        <f>AH929+AH1182+AH1246+AH1295+AH1353+AH1399+AH1439+AH1488</f>
        <v>1260000</v>
      </c>
      <c r="AI1658" s="181">
        <f t="shared" ref="AI1658:AL1659" si="1500">AI1182+AI1295+AI1353+AI1399+AI1439+AI1488</f>
        <v>925000</v>
      </c>
      <c r="AJ1658" s="181">
        <f t="shared" si="1500"/>
        <v>920000</v>
      </c>
      <c r="AK1658" s="181">
        <f t="shared" si="1500"/>
        <v>865000</v>
      </c>
      <c r="AL1658" s="181">
        <f t="shared" si="1500"/>
        <v>860000</v>
      </c>
      <c r="AM1658" s="181">
        <f t="shared" ref="AM1658:AO1659" si="1501">AM1295+AM1353+AM1399+AM1439+AM1488</f>
        <v>665000</v>
      </c>
      <c r="AN1658" s="181">
        <f t="shared" si="1501"/>
        <v>565000</v>
      </c>
      <c r="AO1658" s="181">
        <f t="shared" si="1501"/>
        <v>545000</v>
      </c>
      <c r="AP1658" s="181">
        <f>AP1353+AP1399+AP1439+AP1488</f>
        <v>465000</v>
      </c>
      <c r="AQ1658" s="181">
        <f>AQ1399+AQ1439+AQ1488</f>
        <v>435000</v>
      </c>
      <c r="AR1658" s="181">
        <f>AR1439+AR1488</f>
        <v>330000</v>
      </c>
      <c r="AS1658" s="181">
        <f>AS1488</f>
        <v>70000</v>
      </c>
      <c r="AT1658" s="40" t="s">
        <v>11</v>
      </c>
    </row>
    <row r="1659" spans="1:46" s="178" customFormat="1" x14ac:dyDescent="0.25">
      <c r="A1659" s="177"/>
      <c r="B1659" s="177"/>
      <c r="C1659" s="306"/>
      <c r="H1659" s="156"/>
      <c r="I1659" s="156"/>
      <c r="J1659" s="156"/>
      <c r="K1659" s="180" t="s">
        <v>2</v>
      </c>
      <c r="L1659" s="181">
        <f t="shared" si="1499"/>
        <v>1000838.4199999999</v>
      </c>
      <c r="M1659" s="181">
        <f t="shared" si="1499"/>
        <v>867391.2699999999</v>
      </c>
      <c r="N1659" s="181">
        <f t="shared" si="1499"/>
        <v>821009.1</v>
      </c>
      <c r="O1659" s="181">
        <f>O16+O71+O214+O308+O369+O433+O524+O633+O706+O827+O1009+O1612+O1527+O1542+O1607</f>
        <v>665772.62</v>
      </c>
      <c r="P1659" s="181">
        <f>P16+P71+P214+P308+P369+P433+P524+P633+P706+P827+P930+P1009+P1542+P1607+P1612</f>
        <v>705656.25</v>
      </c>
      <c r="Q1659" s="181">
        <f>Q16+Q71+Q214+Q369+Q433+Q524+Q633+Q706+Q827+Q930+Q1009+Q1076+Q1542+Q1607+Q1612</f>
        <v>642962.49</v>
      </c>
      <c r="R1659" s="181">
        <f>R16+R71+R214+R433+R524+R633+R706+R827+R930+R1009+R1076+R1128+R1542+R1607+R1612</f>
        <v>598975.96000000008</v>
      </c>
      <c r="S1659" s="181">
        <f>S16+S71+S214+S433+S524+S633+S706+S827+S930+S1009+S1076+S1128+S1183+S1542+S1607+S1612</f>
        <v>660497.68999999994</v>
      </c>
      <c r="T1659" s="181">
        <f>T16+T71+T433+T524+T633+T706+T827+T930+T1009+T1076+T1128+T1183+T1247+T1542+T1607+T1612</f>
        <v>703210.92</v>
      </c>
      <c r="U1659" s="181">
        <f>U71+U433+U524+U633+U706+U827+U930+U1009+U1076+U1128+U1183+U1247+U1542</f>
        <v>582563.76</v>
      </c>
      <c r="V1659" s="181">
        <f>V71+V433+V524+V633+V706+V827+V930+V1009+V1076+V1128+V1183+V1247+V1296+V1542</f>
        <v>601893.29</v>
      </c>
      <c r="W1659" s="181">
        <f>W71+W433+W524+W633+W827+W930+W1009+W1076+W1128+W1183+W1247+W1296+W1400+W1542</f>
        <v>485337.5</v>
      </c>
      <c r="X1659" s="181">
        <f>X433+X524+X633+X827+X930+X1009+X1076+X1128+X1183+X1247+X1296+X1354+X1400</f>
        <v>822559.8</v>
      </c>
      <c r="Y1659" s="181">
        <f>Y433+Y524+Y633+Y827+Y930+Y1009+Y1076+Y1128+Y1183+Y1247+Y1296+Y1354+Y1400+Y1489</f>
        <v>704971.87</v>
      </c>
      <c r="Z1659" s="519">
        <f>Z433+Z524+Z633+Z827+Z930+Z1009+Z1076+Z1128+Z1183+Z1247+Z1296+Z1354+Z1400+Z1440+Z1489</f>
        <v>971407.29</v>
      </c>
      <c r="AA1659" s="562">
        <f>AA433+AA524+AA827+AA930+AA1009+AA1076+AA1128+AA1183+AA1247+AA1296+AA1354+AA1400+AA1440+AA1489</f>
        <v>843348.75</v>
      </c>
      <c r="AB1659" s="181">
        <f>AB524+AB827+AB930+AB1009+AB1076+AB1128+AB1183+AB1247+AB1296+AB1354+AB1400+AB1440+AB1489</f>
        <v>725045</v>
      </c>
      <c r="AC1659" s="181">
        <f>AC930+AC1009+AC1076+AC1128+AC1183+AC1247+AC1296+AC1354+AC1400+AC1440+AC1489</f>
        <v>641392.5</v>
      </c>
      <c r="AD1659" s="181">
        <f>AD930+AD1009+AD1076+AD1128+AD1183+AD1247+AD1296+AD1354+AD1400+AD1440+AD1489</f>
        <v>563832.5</v>
      </c>
      <c r="AE1659" s="181">
        <f>AE930+AE1076+AE1128+AE1183+AE1247+AE1296+AE1354+AE1400+AE1440+AE1489</f>
        <v>493502.5</v>
      </c>
      <c r="AF1659" s="181">
        <f>AF930+AF1128+AF1183+AF1247+AF1296+AF1354+AF1400+AF1440+AF1489</f>
        <v>424157.5</v>
      </c>
      <c r="AG1659" s="181">
        <f>AG930+AG1183+AG1247+AG1296+AG1354+AG1400+AG1440+AG1489</f>
        <v>356882.5</v>
      </c>
      <c r="AH1659" s="181">
        <f>AH930+AH1183+AH1247+AH1296+AH1354+AH1400+AH1440+AH1489</f>
        <v>303317.5</v>
      </c>
      <c r="AI1659" s="181">
        <f t="shared" si="1500"/>
        <v>254400</v>
      </c>
      <c r="AJ1659" s="181">
        <f t="shared" si="1500"/>
        <v>219137.5</v>
      </c>
      <c r="AK1659" s="181">
        <f t="shared" si="1500"/>
        <v>185625</v>
      </c>
      <c r="AL1659" s="181">
        <f t="shared" si="1500"/>
        <v>153212.5</v>
      </c>
      <c r="AM1659" s="181">
        <f t="shared" si="1501"/>
        <v>121000</v>
      </c>
      <c r="AN1659" s="181">
        <f t="shared" si="1501"/>
        <v>96218.75</v>
      </c>
      <c r="AO1659" s="181">
        <f t="shared" si="1501"/>
        <v>72637.5</v>
      </c>
      <c r="AP1659" s="181">
        <f>AP1354+AP1400+AP1440+AP1489</f>
        <v>52656.25</v>
      </c>
      <c r="AQ1659" s="181">
        <f>AQ1400+AQ1440+AQ1489</f>
        <v>34100</v>
      </c>
      <c r="AR1659" s="181">
        <f>AR1440+AR1489</f>
        <v>16525</v>
      </c>
      <c r="AS1659" s="181">
        <f>AS1489</f>
        <v>3062.5</v>
      </c>
      <c r="AT1659" s="40" t="s">
        <v>11</v>
      </c>
    </row>
    <row r="1660" spans="1:46" s="178" customFormat="1" x14ac:dyDescent="0.25">
      <c r="A1660" s="177"/>
      <c r="B1660" s="177"/>
      <c r="C1660" s="306"/>
      <c r="H1660" s="156"/>
      <c r="I1660" s="156"/>
      <c r="J1660" s="156"/>
      <c r="K1660" s="180" t="s">
        <v>386</v>
      </c>
      <c r="L1660" s="181">
        <f>L1528+L1543</f>
        <v>1585.88</v>
      </c>
      <c r="M1660" s="181">
        <f>M1528+M1543</f>
        <v>1453.8400000000001</v>
      </c>
      <c r="N1660" s="181">
        <f>N1528+N1543</f>
        <v>1273.7199999999998</v>
      </c>
      <c r="O1660" s="181">
        <f>O1528+O1543+O1608+O1613</f>
        <v>1173.75</v>
      </c>
      <c r="P1660" s="181">
        <f>P1543+P1608+P1613</f>
        <v>405</v>
      </c>
      <c r="Q1660" s="181">
        <f>Q1543+Q1608+Q1613</f>
        <v>356.25</v>
      </c>
      <c r="R1660" s="181">
        <f>R1543+R1608+R1613</f>
        <v>303.75</v>
      </c>
      <c r="S1660" s="181">
        <f>S1543+S1608+S1613</f>
        <v>251.25</v>
      </c>
      <c r="T1660" s="181">
        <f>T1543+T1608+T1613</f>
        <v>198.75</v>
      </c>
      <c r="U1660" s="181">
        <f>U1543</f>
        <v>146.25</v>
      </c>
      <c r="V1660" s="181">
        <f>V1543</f>
        <v>90</v>
      </c>
      <c r="W1660" s="181">
        <f>W1543</f>
        <v>30</v>
      </c>
      <c r="X1660" s="178" t="s">
        <v>11</v>
      </c>
      <c r="Y1660" s="181"/>
      <c r="Z1660" s="519"/>
      <c r="AA1660" s="562"/>
      <c r="AB1660" s="181"/>
      <c r="AC1660" s="181"/>
      <c r="AD1660" s="181"/>
      <c r="AE1660" s="181"/>
      <c r="AF1660" s="181"/>
      <c r="AG1660" s="181"/>
      <c r="AH1660" s="181"/>
      <c r="AI1660" s="181"/>
      <c r="AJ1660" s="181"/>
      <c r="AK1660" s="181"/>
      <c r="AL1660" s="181"/>
      <c r="AM1660" s="181"/>
      <c r="AN1660" s="181"/>
      <c r="AO1660" s="181"/>
      <c r="AP1660" s="181"/>
      <c r="AQ1660" s="181"/>
      <c r="AR1660" s="181"/>
      <c r="AS1660" s="181"/>
    </row>
    <row r="1661" spans="1:46" s="178" customFormat="1" ht="13.8" thickBot="1" x14ac:dyDescent="0.3">
      <c r="A1661" s="177"/>
      <c r="B1661" s="177"/>
      <c r="C1661" s="306"/>
      <c r="G1661" s="181"/>
      <c r="H1661" s="183"/>
      <c r="I1661" s="183"/>
      <c r="J1661" s="183"/>
      <c r="K1661" s="184" t="s">
        <v>5</v>
      </c>
      <c r="L1661" s="185">
        <f>L1660+L1659+L1658</f>
        <v>4990661.28</v>
      </c>
      <c r="M1661" s="185">
        <f>M1660+M1659+M1658</f>
        <v>4973565.96</v>
      </c>
      <c r="N1661" s="185">
        <f>N1660+N1659+N1658</f>
        <v>5305462.9300000006</v>
      </c>
      <c r="O1661" s="185">
        <f t="shared" ref="O1661" si="1502">O1660+O1659+O1658</f>
        <v>4524118.79</v>
      </c>
      <c r="P1661" s="185">
        <f t="shared" ref="P1661:W1661" si="1503">P1660+P1659+P1658</f>
        <v>5097051.580000001</v>
      </c>
      <c r="Q1661" s="185">
        <f t="shared" si="1503"/>
        <v>4871150.2200000007</v>
      </c>
      <c r="R1661" s="185">
        <f t="shared" si="1503"/>
        <v>3850525.94</v>
      </c>
      <c r="S1661" s="185">
        <f t="shared" si="1503"/>
        <v>3929033.13</v>
      </c>
      <c r="T1661" s="185">
        <f t="shared" si="1503"/>
        <v>3995651.82</v>
      </c>
      <c r="U1661" s="185">
        <f t="shared" si="1503"/>
        <v>3477856.7699999996</v>
      </c>
      <c r="V1661" s="185">
        <f t="shared" si="1503"/>
        <v>3642047.47</v>
      </c>
      <c r="W1661" s="185">
        <f t="shared" si="1503"/>
        <v>3144863.71</v>
      </c>
      <c r="X1661" s="185">
        <f>X1659+X1658</f>
        <v>3757559.8</v>
      </c>
      <c r="Y1661" s="185">
        <f>Y1659+Y1658</f>
        <v>3324971.87</v>
      </c>
      <c r="Z1661" s="525">
        <f t="shared" ref="Z1661:AQ1661" si="1504">Z1659+Z1658</f>
        <v>3911407.29</v>
      </c>
      <c r="AA1661" s="569">
        <f t="shared" si="1504"/>
        <v>3563348.75</v>
      </c>
      <c r="AB1661" s="185">
        <f t="shared" si="1504"/>
        <v>2935045</v>
      </c>
      <c r="AC1661" s="185">
        <f t="shared" si="1504"/>
        <v>2551392.5</v>
      </c>
      <c r="AD1661" s="185">
        <f t="shared" si="1504"/>
        <v>2418832.5</v>
      </c>
      <c r="AE1661" s="185">
        <f t="shared" si="1504"/>
        <v>2258502.5</v>
      </c>
      <c r="AF1661" s="185">
        <f t="shared" si="1504"/>
        <v>2109157.5</v>
      </c>
      <c r="AG1661" s="185">
        <f t="shared" si="1504"/>
        <v>1681882.5</v>
      </c>
      <c r="AH1661" s="185">
        <f t="shared" si="1504"/>
        <v>1563317.5</v>
      </c>
      <c r="AI1661" s="185">
        <f t="shared" si="1504"/>
        <v>1179400</v>
      </c>
      <c r="AJ1661" s="185">
        <f t="shared" si="1504"/>
        <v>1139137.5</v>
      </c>
      <c r="AK1661" s="185">
        <f t="shared" si="1504"/>
        <v>1050625</v>
      </c>
      <c r="AL1661" s="185">
        <f t="shared" si="1504"/>
        <v>1013212.5</v>
      </c>
      <c r="AM1661" s="185">
        <f t="shared" si="1504"/>
        <v>786000</v>
      </c>
      <c r="AN1661" s="185">
        <f t="shared" si="1504"/>
        <v>661218.75</v>
      </c>
      <c r="AO1661" s="185">
        <f t="shared" si="1504"/>
        <v>617637.5</v>
      </c>
      <c r="AP1661" s="185">
        <f t="shared" si="1504"/>
        <v>517656.25</v>
      </c>
      <c r="AQ1661" s="185">
        <f t="shared" si="1504"/>
        <v>469100</v>
      </c>
      <c r="AR1661" s="185">
        <f t="shared" ref="AR1661:AS1661" si="1505">AR1659+AR1658</f>
        <v>346525</v>
      </c>
      <c r="AS1661" s="185">
        <f t="shared" si="1505"/>
        <v>73062.5</v>
      </c>
      <c r="AT1661" s="186" t="s">
        <v>11</v>
      </c>
    </row>
    <row r="1662" spans="1:46" ht="13.8" thickTop="1" x14ac:dyDescent="0.25">
      <c r="G1662" s="1"/>
      <c r="H1662" s="1"/>
      <c r="I1662" s="3"/>
      <c r="J1662" s="3"/>
      <c r="L1662" s="174"/>
      <c r="M1662" s="174"/>
      <c r="N1662" s="174"/>
      <c r="O1662" s="174"/>
      <c r="P1662" s="174"/>
      <c r="Q1662" s="174"/>
      <c r="Z1662" s="490"/>
      <c r="AA1662" s="60"/>
    </row>
    <row r="1663" spans="1:46" s="178" customFormat="1" x14ac:dyDescent="0.25">
      <c r="A1663" s="177"/>
      <c r="B1663" s="177"/>
      <c r="C1663" s="306"/>
      <c r="H1663" s="195"/>
      <c r="I1663" s="195"/>
      <c r="J1663" s="195" t="s">
        <v>45</v>
      </c>
      <c r="K1663" s="196" t="s">
        <v>1</v>
      </c>
      <c r="L1663" s="181">
        <f t="shared" ref="L1663:R1664" si="1506">L122+L177</f>
        <v>275000</v>
      </c>
      <c r="M1663" s="181">
        <f t="shared" si="1506"/>
        <v>275000</v>
      </c>
      <c r="N1663" s="181">
        <f t="shared" si="1506"/>
        <v>275000</v>
      </c>
      <c r="O1663" s="181">
        <f t="shared" si="1506"/>
        <v>275000</v>
      </c>
      <c r="P1663" s="181">
        <f t="shared" si="1506"/>
        <v>275000</v>
      </c>
      <c r="Q1663" s="181">
        <f t="shared" si="1506"/>
        <v>280000</v>
      </c>
      <c r="R1663" s="181">
        <f t="shared" si="1506"/>
        <v>270000</v>
      </c>
      <c r="S1663" s="181">
        <f t="shared" ref="S1663:X1664" si="1507">S122</f>
        <v>60000</v>
      </c>
      <c r="T1663" s="181">
        <f t="shared" si="1507"/>
        <v>60000</v>
      </c>
      <c r="U1663" s="181">
        <f t="shared" si="1507"/>
        <v>60000</v>
      </c>
      <c r="V1663" s="181">
        <f t="shared" si="1507"/>
        <v>60000</v>
      </c>
      <c r="W1663" s="181">
        <f t="shared" si="1507"/>
        <v>60000</v>
      </c>
      <c r="X1663" s="181">
        <f t="shared" si="1507"/>
        <v>60000</v>
      </c>
      <c r="Y1663" s="178" t="s">
        <v>11</v>
      </c>
      <c r="Z1663" s="519"/>
      <c r="AA1663" s="562"/>
      <c r="AB1663" s="181"/>
      <c r="AC1663" s="181"/>
      <c r="AD1663" s="181"/>
      <c r="AE1663" s="181"/>
      <c r="AF1663" s="181"/>
      <c r="AG1663" s="181"/>
      <c r="AH1663" s="181"/>
      <c r="AI1663" s="181"/>
      <c r="AJ1663" s="181"/>
      <c r="AK1663" s="181"/>
      <c r="AL1663" s="181"/>
      <c r="AM1663" s="181"/>
      <c r="AN1663" s="181"/>
      <c r="AO1663" s="181"/>
      <c r="AP1663" s="181"/>
      <c r="AQ1663" s="181"/>
      <c r="AR1663" s="181"/>
      <c r="AS1663" s="181"/>
      <c r="AT1663" s="181"/>
    </row>
    <row r="1664" spans="1:46" s="178" customFormat="1" x14ac:dyDescent="0.25">
      <c r="A1664" s="177"/>
      <c r="B1664" s="177"/>
      <c r="C1664" s="306"/>
      <c r="H1664" s="154"/>
      <c r="I1664" s="154"/>
      <c r="J1664" s="154"/>
      <c r="K1664" s="196" t="s">
        <v>2</v>
      </c>
      <c r="L1664" s="181">
        <f t="shared" si="1506"/>
        <v>100620</v>
      </c>
      <c r="M1664" s="181">
        <f t="shared" si="1506"/>
        <v>89470</v>
      </c>
      <c r="N1664" s="181">
        <f t="shared" si="1506"/>
        <v>76095</v>
      </c>
      <c r="O1664" s="181">
        <f t="shared" si="1506"/>
        <v>62735</v>
      </c>
      <c r="P1664" s="181">
        <f t="shared" si="1506"/>
        <v>49375</v>
      </c>
      <c r="Q1664" s="181">
        <f t="shared" si="1506"/>
        <v>35800</v>
      </c>
      <c r="R1664" s="181">
        <f t="shared" si="1506"/>
        <v>23400</v>
      </c>
      <c r="S1664" s="181">
        <f t="shared" si="1507"/>
        <v>16350</v>
      </c>
      <c r="T1664" s="181">
        <f t="shared" si="1507"/>
        <v>13350</v>
      </c>
      <c r="U1664" s="181">
        <f t="shared" si="1507"/>
        <v>10425</v>
      </c>
      <c r="V1664" s="181">
        <f t="shared" si="1507"/>
        <v>7500</v>
      </c>
      <c r="W1664" s="181">
        <f t="shared" si="1507"/>
        <v>4500</v>
      </c>
      <c r="X1664" s="181">
        <f t="shared" si="1507"/>
        <v>1500</v>
      </c>
      <c r="Y1664" s="178" t="s">
        <v>11</v>
      </c>
      <c r="Z1664" s="519"/>
      <c r="AA1664" s="562"/>
      <c r="AB1664" s="181"/>
      <c r="AC1664" s="181"/>
      <c r="AD1664" s="181"/>
      <c r="AE1664" s="181"/>
      <c r="AF1664" s="181"/>
      <c r="AG1664" s="181"/>
      <c r="AH1664" s="181"/>
      <c r="AI1664" s="181"/>
      <c r="AJ1664" s="181"/>
      <c r="AK1664" s="181"/>
      <c r="AL1664" s="181"/>
      <c r="AM1664" s="181"/>
      <c r="AN1664" s="181"/>
      <c r="AO1664" s="181"/>
      <c r="AP1664" s="181"/>
      <c r="AQ1664" s="181"/>
      <c r="AR1664" s="181"/>
      <c r="AS1664" s="181"/>
      <c r="AT1664" s="181"/>
    </row>
    <row r="1665" spans="1:46" s="178" customFormat="1" x14ac:dyDescent="0.25">
      <c r="A1665" s="177"/>
      <c r="B1665" s="177"/>
      <c r="C1665" s="306"/>
      <c r="H1665" s="154"/>
      <c r="I1665" s="154"/>
      <c r="J1665" s="154"/>
      <c r="K1665" s="196" t="s">
        <v>386</v>
      </c>
      <c r="L1665" s="181"/>
      <c r="M1665" s="181"/>
      <c r="N1665" s="181"/>
      <c r="O1665" s="181"/>
      <c r="P1665" s="181"/>
      <c r="Q1665" s="181"/>
      <c r="R1665" s="181"/>
      <c r="S1665" s="181"/>
      <c r="T1665" s="181"/>
      <c r="U1665" s="181"/>
      <c r="V1665" s="181">
        <v>0</v>
      </c>
      <c r="W1665" s="181"/>
      <c r="Z1665" s="519"/>
      <c r="AA1665" s="562"/>
      <c r="AB1665" s="181"/>
      <c r="AC1665" s="181"/>
      <c r="AD1665" s="181"/>
      <c r="AE1665" s="181"/>
      <c r="AF1665" s="181"/>
      <c r="AG1665" s="181"/>
      <c r="AH1665" s="181"/>
      <c r="AI1665" s="181"/>
      <c r="AJ1665" s="181"/>
      <c r="AK1665" s="181"/>
      <c r="AL1665" s="181"/>
      <c r="AM1665" s="181"/>
      <c r="AN1665" s="181"/>
      <c r="AO1665" s="181"/>
      <c r="AP1665" s="181"/>
      <c r="AQ1665" s="181"/>
      <c r="AR1665" s="181"/>
      <c r="AS1665" s="181"/>
      <c r="AT1665" s="181"/>
    </row>
    <row r="1666" spans="1:46" s="178" customFormat="1" ht="13.8" thickBot="1" x14ac:dyDescent="0.3">
      <c r="A1666" s="177"/>
      <c r="B1666" s="177"/>
      <c r="C1666" s="306"/>
      <c r="H1666" s="197"/>
      <c r="I1666" s="197"/>
      <c r="J1666" s="197"/>
      <c r="K1666" s="198" t="s">
        <v>5</v>
      </c>
      <c r="L1666" s="185">
        <f>L1665+L1664+L1663</f>
        <v>375620</v>
      </c>
      <c r="M1666" s="185">
        <f>M1665+M1664+M1663</f>
        <v>364470</v>
      </c>
      <c r="N1666" s="185">
        <f>N1665+N1664+N1663</f>
        <v>351095</v>
      </c>
      <c r="O1666" s="185">
        <f t="shared" ref="O1666:P1666" si="1508">O1665+O1664+O1663</f>
        <v>337735</v>
      </c>
      <c r="P1666" s="185">
        <f t="shared" si="1508"/>
        <v>324375</v>
      </c>
      <c r="Q1666" s="185">
        <f t="shared" ref="Q1666:R1666" si="1509">Q1665+Q1664+Q1663</f>
        <v>315800</v>
      </c>
      <c r="R1666" s="185">
        <f t="shared" si="1509"/>
        <v>293400</v>
      </c>
      <c r="S1666" s="185">
        <f t="shared" ref="S1666:T1666" si="1510">S1665+S1664+S1663</f>
        <v>76350</v>
      </c>
      <c r="T1666" s="185">
        <f t="shared" si="1510"/>
        <v>73350</v>
      </c>
      <c r="U1666" s="185">
        <f t="shared" ref="U1666:V1666" si="1511">U1665+U1664+U1663</f>
        <v>70425</v>
      </c>
      <c r="V1666" s="185">
        <f t="shared" si="1511"/>
        <v>67500</v>
      </c>
      <c r="W1666" s="185">
        <f t="shared" ref="W1666:X1666" si="1512">W1665+W1664+W1663</f>
        <v>64500</v>
      </c>
      <c r="X1666" s="185">
        <f t="shared" si="1512"/>
        <v>61500</v>
      </c>
      <c r="Y1666" s="186" t="s">
        <v>11</v>
      </c>
      <c r="Z1666" s="525"/>
      <c r="AA1666" s="569"/>
      <c r="AB1666" s="185"/>
      <c r="AC1666" s="186"/>
      <c r="AD1666" s="185"/>
      <c r="AE1666" s="185"/>
      <c r="AF1666" s="185"/>
      <c r="AG1666" s="185"/>
      <c r="AH1666" s="185"/>
      <c r="AI1666" s="185"/>
      <c r="AJ1666" s="185"/>
      <c r="AK1666" s="185"/>
      <c r="AL1666" s="185"/>
      <c r="AM1666" s="185"/>
      <c r="AN1666" s="185"/>
      <c r="AO1666" s="185"/>
      <c r="AP1666" s="185"/>
      <c r="AQ1666" s="185"/>
      <c r="AR1666" s="185"/>
      <c r="AS1666" s="185"/>
      <c r="AT1666" s="185"/>
    </row>
    <row r="1667" spans="1:46" ht="13.8" thickTop="1" x14ac:dyDescent="0.25">
      <c r="G1667" s="1"/>
      <c r="H1667" s="1"/>
      <c r="I1667" s="3"/>
      <c r="J1667" s="3"/>
      <c r="L1667" s="174"/>
      <c r="M1667" s="174"/>
      <c r="N1667" s="174"/>
      <c r="O1667" s="174"/>
      <c r="P1667" s="174"/>
      <c r="Q1667" s="174"/>
      <c r="Z1667" s="490"/>
      <c r="AA1667" s="60"/>
    </row>
    <row r="1668" spans="1:46" s="178" customFormat="1" x14ac:dyDescent="0.25">
      <c r="A1668" s="177"/>
      <c r="B1668" s="177"/>
      <c r="C1668" s="306"/>
      <c r="E1668" s="178" t="s">
        <v>418</v>
      </c>
      <c r="H1668" s="191"/>
      <c r="I1668" s="191"/>
      <c r="J1668" s="191" t="s">
        <v>34</v>
      </c>
      <c r="K1668" s="192" t="s">
        <v>1</v>
      </c>
      <c r="L1668" s="181">
        <f t="shared" ref="L1668:T1668" si="1513">L76+L1516+L1521+L1546</f>
        <v>213833.97</v>
      </c>
      <c r="M1668" s="181">
        <f t="shared" si="1513"/>
        <v>226178.1</v>
      </c>
      <c r="N1668" s="181">
        <f t="shared" si="1513"/>
        <v>224490.22999999998</v>
      </c>
      <c r="O1668" s="181">
        <f t="shared" si="1513"/>
        <v>232513.5</v>
      </c>
      <c r="P1668" s="181">
        <f t="shared" si="1513"/>
        <v>236367.95</v>
      </c>
      <c r="Q1668" s="181">
        <f t="shared" si="1513"/>
        <v>240590</v>
      </c>
      <c r="R1668" s="181">
        <f t="shared" si="1513"/>
        <v>248203.77000000002</v>
      </c>
      <c r="S1668" s="181">
        <f t="shared" si="1513"/>
        <v>254690.90999999997</v>
      </c>
      <c r="T1668" s="181">
        <f t="shared" si="1513"/>
        <v>252503.16999999998</v>
      </c>
      <c r="U1668" s="181">
        <f t="shared" ref="U1668:W1669" si="1514">U76</f>
        <v>110000</v>
      </c>
      <c r="V1668" s="181">
        <f t="shared" si="1514"/>
        <v>110000</v>
      </c>
      <c r="W1668" s="181">
        <f t="shared" si="1514"/>
        <v>100000</v>
      </c>
      <c r="X1668" s="178" t="s">
        <v>11</v>
      </c>
      <c r="Y1668" s="181"/>
      <c r="Z1668" s="519"/>
      <c r="AA1668" s="562"/>
      <c r="AB1668" s="181"/>
      <c r="AC1668" s="181"/>
      <c r="AD1668" s="181"/>
      <c r="AE1668" s="181"/>
      <c r="AF1668" s="181"/>
      <c r="AG1668" s="181"/>
      <c r="AH1668" s="181"/>
      <c r="AI1668" s="181"/>
      <c r="AJ1668" s="181"/>
      <c r="AK1668" s="181"/>
      <c r="AL1668" s="181"/>
      <c r="AM1668" s="181"/>
      <c r="AN1668" s="181"/>
      <c r="AO1668" s="181"/>
      <c r="AP1668" s="181"/>
      <c r="AQ1668" s="181"/>
      <c r="AR1668" s="181"/>
      <c r="AS1668" s="181"/>
      <c r="AT1668" s="181"/>
    </row>
    <row r="1669" spans="1:46" s="178" customFormat="1" x14ac:dyDescent="0.25">
      <c r="A1669" s="177"/>
      <c r="B1669" s="177"/>
      <c r="C1669" s="306"/>
      <c r="H1669" s="155"/>
      <c r="I1669" s="155"/>
      <c r="J1669" s="155"/>
      <c r="K1669" s="192" t="s">
        <v>2</v>
      </c>
      <c r="L1669" s="181">
        <f t="shared" ref="L1669:T1669" si="1515">L77+L1517+L1522+L1547</f>
        <v>83850.94</v>
      </c>
      <c r="M1669" s="181">
        <f t="shared" si="1515"/>
        <v>73966.87</v>
      </c>
      <c r="N1669" s="181">
        <f t="shared" si="1515"/>
        <v>68467.37999999999</v>
      </c>
      <c r="O1669" s="181">
        <f t="shared" si="1515"/>
        <v>57339.849999999991</v>
      </c>
      <c r="P1669" s="181">
        <f t="shared" si="1515"/>
        <v>48648.72</v>
      </c>
      <c r="Q1669" s="181">
        <f t="shared" si="1515"/>
        <v>39805.089999999997</v>
      </c>
      <c r="R1669" s="181">
        <f t="shared" si="1515"/>
        <v>31289.55</v>
      </c>
      <c r="S1669" s="181">
        <f t="shared" si="1515"/>
        <v>24235</v>
      </c>
      <c r="T1669" s="181">
        <f t="shared" si="1515"/>
        <v>19560</v>
      </c>
      <c r="U1669" s="181">
        <f t="shared" si="1514"/>
        <v>14610</v>
      </c>
      <c r="V1669" s="181">
        <f t="shared" si="1514"/>
        <v>9660</v>
      </c>
      <c r="W1669" s="181">
        <f t="shared" si="1514"/>
        <v>4600</v>
      </c>
      <c r="X1669" s="178" t="s">
        <v>11</v>
      </c>
      <c r="Y1669" s="181"/>
      <c r="Z1669" s="519"/>
      <c r="AA1669" s="562"/>
      <c r="AB1669" s="181"/>
      <c r="AC1669" s="181"/>
      <c r="AD1669" s="181"/>
      <c r="AE1669" s="181"/>
      <c r="AF1669" s="181"/>
      <c r="AG1669" s="181"/>
      <c r="AH1669" s="181"/>
      <c r="AI1669" s="181"/>
      <c r="AJ1669" s="181"/>
      <c r="AK1669" s="181"/>
      <c r="AL1669" s="181"/>
      <c r="AM1669" s="181"/>
      <c r="AN1669" s="181"/>
      <c r="AO1669" s="181"/>
      <c r="AP1669" s="181"/>
      <c r="AQ1669" s="181"/>
      <c r="AR1669" s="181"/>
      <c r="AS1669" s="181"/>
      <c r="AT1669" s="181"/>
    </row>
    <row r="1670" spans="1:46" s="178" customFormat="1" x14ac:dyDescent="0.25">
      <c r="A1670" s="177"/>
      <c r="B1670" s="177"/>
      <c r="C1670" s="306"/>
      <c r="H1670" s="155"/>
      <c r="I1670" s="155"/>
      <c r="J1670" s="155"/>
      <c r="K1670" s="192" t="s">
        <v>386</v>
      </c>
      <c r="L1670" s="181">
        <f t="shared" ref="L1670:T1670" si="1516">L1518+L1523+L1548</f>
        <v>2313.3999999999996</v>
      </c>
      <c r="M1670" s="181">
        <f t="shared" si="1516"/>
        <v>2071.08</v>
      </c>
      <c r="N1670" s="181">
        <f t="shared" si="1516"/>
        <v>1761.88</v>
      </c>
      <c r="O1670" s="181">
        <f t="shared" si="1516"/>
        <v>1566.24</v>
      </c>
      <c r="P1670" s="181">
        <f t="shared" si="1516"/>
        <v>1302.05</v>
      </c>
      <c r="Q1670" s="181">
        <f t="shared" si="1516"/>
        <v>1031</v>
      </c>
      <c r="R1670" s="181">
        <f t="shared" si="1516"/>
        <v>749.32999999999993</v>
      </c>
      <c r="S1670" s="181">
        <f t="shared" si="1516"/>
        <v>453.72</v>
      </c>
      <c r="T1670" s="181">
        <f t="shared" si="1516"/>
        <v>151.24</v>
      </c>
      <c r="U1670" s="181"/>
      <c r="V1670" s="181"/>
      <c r="W1670" s="181"/>
      <c r="X1670" s="178" t="s">
        <v>11</v>
      </c>
      <c r="Y1670" s="181"/>
      <c r="Z1670" s="519"/>
      <c r="AA1670" s="562"/>
      <c r="AB1670" s="181"/>
      <c r="AC1670" s="181"/>
      <c r="AD1670" s="181"/>
      <c r="AE1670" s="181"/>
      <c r="AF1670" s="181"/>
      <c r="AG1670" s="181"/>
      <c r="AH1670" s="181"/>
      <c r="AI1670" s="181"/>
      <c r="AJ1670" s="181"/>
      <c r="AK1670" s="181"/>
      <c r="AL1670" s="181"/>
      <c r="AM1670" s="181"/>
      <c r="AN1670" s="181"/>
      <c r="AO1670" s="181"/>
      <c r="AP1670" s="181"/>
      <c r="AQ1670" s="181"/>
      <c r="AR1670" s="181"/>
      <c r="AS1670" s="181"/>
      <c r="AT1670" s="181"/>
    </row>
    <row r="1671" spans="1:46" s="178" customFormat="1" ht="13.8" thickBot="1" x14ac:dyDescent="0.3">
      <c r="A1671" s="177"/>
      <c r="B1671" s="177"/>
      <c r="C1671" s="306"/>
      <c r="H1671" s="193"/>
      <c r="I1671" s="193"/>
      <c r="J1671" s="193"/>
      <c r="K1671" s="194" t="s">
        <v>5</v>
      </c>
      <c r="L1671" s="185">
        <f>L1670+L1669+L1668</f>
        <v>299998.31</v>
      </c>
      <c r="M1671" s="185">
        <f t="shared" ref="M1671:O1671" si="1517">M1670+M1669+M1668</f>
        <v>302216.05</v>
      </c>
      <c r="N1671" s="185">
        <f t="shared" si="1517"/>
        <v>294719.49</v>
      </c>
      <c r="O1671" s="185">
        <f t="shared" si="1517"/>
        <v>291419.58999999997</v>
      </c>
      <c r="P1671" s="185">
        <f t="shared" ref="P1671:W1671" si="1518">P1670+P1669+P1668</f>
        <v>286318.72000000003</v>
      </c>
      <c r="Q1671" s="185">
        <f t="shared" si="1518"/>
        <v>281426.08999999997</v>
      </c>
      <c r="R1671" s="185">
        <f t="shared" si="1518"/>
        <v>280242.65000000002</v>
      </c>
      <c r="S1671" s="185">
        <f t="shared" si="1518"/>
        <v>279379.63</v>
      </c>
      <c r="T1671" s="185">
        <f t="shared" si="1518"/>
        <v>272214.40999999997</v>
      </c>
      <c r="U1671" s="185">
        <f t="shared" si="1518"/>
        <v>124610</v>
      </c>
      <c r="V1671" s="185">
        <f t="shared" si="1518"/>
        <v>119660</v>
      </c>
      <c r="W1671" s="185">
        <f t="shared" si="1518"/>
        <v>104600</v>
      </c>
      <c r="X1671" s="186" t="s">
        <v>11</v>
      </c>
      <c r="Y1671" s="185"/>
      <c r="Z1671" s="525"/>
      <c r="AA1671" s="569"/>
      <c r="AB1671" s="185"/>
      <c r="AC1671" s="186"/>
      <c r="AD1671" s="185"/>
      <c r="AE1671" s="185"/>
      <c r="AF1671" s="185"/>
      <c r="AG1671" s="185"/>
      <c r="AH1671" s="185"/>
      <c r="AI1671" s="185"/>
      <c r="AJ1671" s="185"/>
      <c r="AK1671" s="185"/>
      <c r="AL1671" s="185"/>
      <c r="AM1671" s="185"/>
      <c r="AN1671" s="185"/>
      <c r="AO1671" s="185"/>
      <c r="AP1671" s="185"/>
      <c r="AQ1671" s="185"/>
      <c r="AR1671" s="185"/>
      <c r="AS1671" s="185"/>
      <c r="AT1671" s="185"/>
    </row>
    <row r="1672" spans="1:46" ht="13.8" thickTop="1" x14ac:dyDescent="0.25">
      <c r="G1672" s="1"/>
      <c r="H1672" s="1"/>
      <c r="I1672" s="3"/>
      <c r="J1672" s="3"/>
      <c r="L1672" s="174"/>
      <c r="M1672" s="174"/>
      <c r="N1672" s="174"/>
      <c r="O1672" s="174"/>
      <c r="P1672" s="174"/>
      <c r="Q1672" s="174"/>
      <c r="Z1672" s="490"/>
      <c r="AA1672" s="60"/>
    </row>
    <row r="1673" spans="1:46" s="178" customFormat="1" x14ac:dyDescent="0.25">
      <c r="A1673" s="177"/>
      <c r="B1673" s="177"/>
      <c r="C1673" s="306"/>
      <c r="H1673" s="187"/>
      <c r="I1673" s="187"/>
      <c r="J1673" s="187" t="s">
        <v>33</v>
      </c>
      <c r="K1673" s="188" t="s">
        <v>1</v>
      </c>
      <c r="L1673" s="181">
        <f t="shared" ref="L1673:N1674" si="1519">L24+L88+L252+L319+L389+L447+L547+L650+L1551+L1556+L1561+L1566+L1571+L1576+L1581+L1586+L1591+L1596+L1601+L1611+L1616+L1623</f>
        <v>873631.7200000002</v>
      </c>
      <c r="M1673" s="181">
        <f t="shared" si="1519"/>
        <v>892712.74999999988</v>
      </c>
      <c r="N1673" s="181">
        <f t="shared" si="1519"/>
        <v>1183598.3399999999</v>
      </c>
      <c r="O1673" s="181">
        <f>O24+O88+O252+O319+O389+O447+O547+O650+O1017+O1551+O1556+O1561+O1566+O1571+O1576+O1581+O1586+O1591+O1596+O1601+O1616+O1623</f>
        <v>1191927.8999999999</v>
      </c>
      <c r="P1673" s="181">
        <f>P24+P88+P252+P319+P389+P447+P547+P650+P938+P1551+P1556+P1017+P1526+P1561+P1566+P1571+P1576+P1581+P1586+P1591+P1596+P1601+P1616+P1623</f>
        <v>1908728.21</v>
      </c>
      <c r="Q1673" s="181">
        <f>Q24+Q88+Q252+Q389+Q447+Q547+Q650+Q938+Q1081+Q1551+Q1556+Q1017+Q1526+Q1561+Q1566+Q1571+Q1576+Q1581+Q1586+Q1591+Q1596+Q1601+Q1616+Q1623</f>
        <v>1895615.3299999998</v>
      </c>
      <c r="R1673" s="181">
        <f>R24+R88+R252+R389+R447+R547+R650+R938+R1526+R1551+R1556+R1017+R1081+R1561+R1566+R1571+R1576+R1581+R1586+R1591+R1596+R1601+R1616+R1623</f>
        <v>1884271.2999999998</v>
      </c>
      <c r="S1673" s="181">
        <f>S24+S88+S252+S389+S547+S650+S938+S1526+S1551+S1556+S1017+S1081+S1188+S1561+S1566+S1571+S1576+S1581+S1586+S1591+S1596+S1601+S1616+S1623</f>
        <v>1917921.8399999999</v>
      </c>
      <c r="T1673" s="181">
        <f>T24+T88+T252+T389+T547+T650+T938+T1526+T1551+T1556+T1017+T1081+T1188+T1252+T1561+T1566+T1571+T1576+T1581+T1586+T1591+T1596+T1601+T1616+T1623</f>
        <v>1916577.3639999998</v>
      </c>
      <c r="U1673" s="181">
        <f>U88+U389+U547+U650+U938+U1252+U1526+U1551+U1556+U1017+U1081+U1188+U1561+U1566+U1571+U1576+U1581+U1586+U1591+U1596+U1601+U1616+U1623</f>
        <v>1864750.45</v>
      </c>
      <c r="V1673" s="181">
        <f>V88+V389+V547+V650+V938+V1252+V1551+V1556+V1017+V1081+V1188+V1561+V1566+V1571+V1576+V1581+V1586+V1591+V1596+V1601+V1616+V1623</f>
        <v>1835868.66</v>
      </c>
      <c r="W1673" s="181">
        <f>W88+W389+W547+W650+W938+W1252+W1551+W1556+W1017+W1081+W1188+W1405+W1561+W1566+W1571+W1576+W1581+W1586+W1591+W1596+W1601+W1616+W1623</f>
        <v>1832853.2000000002</v>
      </c>
      <c r="X1673" s="181">
        <f>X389+X547+X650+X938+X1252+X1551+X1556+X1017+X1081+X1188+X1371+X1405+X1561+X1566+X1571+X1576+X1581+X1586+X1591+X1596+X1601+X1616+X1623</f>
        <v>2065232.85</v>
      </c>
      <c r="Y1673" s="181">
        <f>Y389+Y547+Y650+Y938+Y1252+Y1556+Y1017+Y1081+Y1188+Y1371+Y1405+Y1500+Y1561+Y1566+Y1571+Y1576+Y1581+Y1586+Y1591+Y1596+Y1601+Y1616+Y1623</f>
        <v>1982696.9699999997</v>
      </c>
      <c r="Z1673" s="519">
        <f>Z389+Z547+Z650+Z938+Z1252+Z1017+Z1081+Z1188+Z1371+Z1405+Z1457+Z1500+Z1566+Z1571+Z1576+Z1581+Z1586+Z1591+Z1596+Z1601+Z1616+Z1623</f>
        <v>2232450.83</v>
      </c>
      <c r="AA1673" s="562">
        <f>AA389+AA547+AA938+AA1252+AA1017+AA1081+AA1188+AA1371+AA1405+AA1457+AA1500+AA1571+AA1576+AA1586+AA1596+AA1601+AA1616+AA1623</f>
        <v>1913213.6400000001</v>
      </c>
      <c r="AB1673" s="181">
        <f>AB547+AB938+AB1252+AB1017+AB1081+AB1188+AB1371+AB1405+AB1457+AB1500+AB1576+AB1586+AB1596+AB1601+AB1616+AB1623</f>
        <v>1782286.88</v>
      </c>
      <c r="AC1673" s="181">
        <f>AC547+AC938+AC1252+AC1017+AC1081+AC1188+AC1371+AC1405+AC1457+AC1500+AC1586+AC1596+AC1601+AC1616+AC1623</f>
        <v>1722230.65</v>
      </c>
      <c r="AD1673" s="181">
        <f>AD938+AD1252+AD1017+AD1081+AD1188+AD1371+AD1405+AD1457+AD1500+AD1586+AD1596+AD1601+AD1616+AD1623</f>
        <v>1690652.59</v>
      </c>
      <c r="AE1673" s="181">
        <f>AE938+AE1252+AE1081+AE1188+AE1371+AE1405+AE1457+AE1500+AE1586+AE1596+AE1601+AE1616+AE1623</f>
        <v>1584397.2799999998</v>
      </c>
      <c r="AF1673" s="181">
        <f>AF938+AF1252+AF1081+AF1188+AF1371+AF1405+AF1457+AF1500+AF1616+AF1623</f>
        <v>1525531.57</v>
      </c>
      <c r="AG1673" s="181">
        <f>AG938+AG1252+AG1188+AG1371+AG1405+AG1457+AG1500+AG1616+AG1623</f>
        <v>1478578.32</v>
      </c>
      <c r="AH1673" s="181">
        <f>AH938+AH1252+AH1188+AH1371+AH1405+AH1457+AH1500+AH1616+AH1623</f>
        <v>1491942.12</v>
      </c>
      <c r="AI1673" s="181">
        <f>AI1252+AI1188+AI1371+AI1405+AI1457+AI1500+AI1616+AI1623</f>
        <v>1445634.65</v>
      </c>
      <c r="AJ1673" s="181">
        <f>AJ1252+AJ1188+AJ1371+AJ1405+AJ1457+AJ1500+AJ1616+AJ1623</f>
        <v>1444661.59</v>
      </c>
      <c r="AK1673" s="181">
        <f>AK1252+AK1188+AK1371+AK1405+AK1457+AK1500+AK1616+AK1623</f>
        <v>1459032.62</v>
      </c>
      <c r="AL1673" s="181">
        <f>AL1252+AL1188+AL1371+AL1405+AL1457+AL1500+AL1616+AL1623</f>
        <v>1418756.38</v>
      </c>
      <c r="AM1673" s="181">
        <f>AM1252+AM1371+AM1405+AM1457+AM1500+AM1616+AM1623</f>
        <v>1393842.55</v>
      </c>
      <c r="AN1673" s="181">
        <f>AN1371+AN1405+AN1457+AN1500+AN1616+AN1623</f>
        <v>1324297.75</v>
      </c>
      <c r="AO1673" s="181">
        <f>AO1371+AO1405+AO1457+AO1500+AO1616+AO1623</f>
        <v>1340135.6299999999</v>
      </c>
      <c r="AP1673" s="181">
        <f>AP1371+AP1405+AP1457+AP1500+AP1616+AP1623</f>
        <v>1356361.82</v>
      </c>
      <c r="AQ1673" s="181">
        <f>AQ1405+AQ1457+AQ1500+AQ1616+AQ1623</f>
        <v>1277986.92</v>
      </c>
      <c r="AR1673" s="181">
        <f>AR1457+AR1500+AR1623</f>
        <v>564448.55000000005</v>
      </c>
      <c r="AS1673" s="181">
        <f>AS1500+AS1623</f>
        <v>474408.29</v>
      </c>
      <c r="AT1673" s="40" t="s">
        <v>11</v>
      </c>
    </row>
    <row r="1674" spans="1:46" s="178" customFormat="1" x14ac:dyDescent="0.25">
      <c r="A1674" s="177"/>
      <c r="B1674" s="177"/>
      <c r="C1674" s="306"/>
      <c r="H1674" s="153"/>
      <c r="I1674" s="153"/>
      <c r="J1674" s="153"/>
      <c r="K1674" s="188" t="s">
        <v>2</v>
      </c>
      <c r="L1674" s="181">
        <f t="shared" si="1519"/>
        <v>361368.63000000006</v>
      </c>
      <c r="M1674" s="181">
        <f t="shared" si="1519"/>
        <v>551320.25</v>
      </c>
      <c r="N1674" s="181">
        <f t="shared" si="1519"/>
        <v>490696.3</v>
      </c>
      <c r="O1674" s="181">
        <f>O25+O89+O253+O320+O390+O448+O548+O651+O1018+O1552+O1557+O1562+O1567+O1572+O1577+O1582+O1587+O1592+O1597+O1602+O1617+O1624</f>
        <v>293613.40999999992</v>
      </c>
      <c r="P1674" s="181">
        <f>P25+P89+P253+P320+P390+P448+P548+P651+P939+P1552+P1557+P1527+P1018+P1562+P1567+P1572+P1577+P1582+P1587+P1592+P1597+P1602+P1617+P1624</f>
        <v>335255.85000000003</v>
      </c>
      <c r="Q1674" s="181">
        <f>Q25+Q89+Q253+Q390+Q448+Q548+Q651+Q939+Q1082+Q1552+Q1557+Q1018+Q1527+Q1562+Q1567+Q1572+Q1577+Q1582+Q1587+Q1592+Q1597+Q1602+Q1617+Q1624</f>
        <v>329078.8</v>
      </c>
      <c r="R1674" s="181">
        <f>R25+R89+R253+R390+R448+R548+R651+R939+R1527+R1552+R1557+R1018+R1082+R1562+R1567+R1572+R1577+R1582+R1587+R1592+R1597+R1602+R1617+R1624</f>
        <v>292945.48000000004</v>
      </c>
      <c r="S1674" s="181">
        <f>S25+S89+S253+S390+S548+S651+S939+S1527+S1552+S1557+S1018+S1082+S1189+S1562+S1567+S1572+S1577+S1582+S1587+S1592+S1597+S1602</f>
        <v>290015.57999999996</v>
      </c>
      <c r="T1674" s="181">
        <f>T25+T89+T253+T390+T548+T651+T939+T1527+T1552+T1557+T1018+T1082+T1189+T1253+T1562+T1567+T1572+T1577+T1582+T1587+T1592+T1597+T1602</f>
        <v>287978.81000000006</v>
      </c>
      <c r="U1674" s="181">
        <f>U89+U390+U548+U651+U939+U1253+U1527+U1552+U1557+U1018+U1082+U1189+U1562+U1567+U1572+U1577+U1582+U1587+U1592+U1597+U1602</f>
        <v>252660.24000000005</v>
      </c>
      <c r="V1674" s="181">
        <f>V89+V390+V548+V651+V939+V1253+V1552+V1557+V1018+V1082+V1189+V1562+V1567+V1572+V1577+V1582+V1587+V1592+V1597+V1602</f>
        <v>219734.46</v>
      </c>
      <c r="W1674" s="181">
        <f>W89+W390+W548+W651+W939+W1253+W1552+W1557+W1018+W1082+W1189+W1406+W1562+W1567+W1572+W1577+W1582+W1587+W1592+W1597+W1602</f>
        <v>185599.21000000002</v>
      </c>
      <c r="X1674" s="181">
        <f>X390+X548+X651+X939+X1253+X1552+X1557+X1018+X1082+X1189+X1372+X1406+X1562+X1567+X1572+X1577+X1582+X1587+X1592+X1597+X1602</f>
        <v>303105.30999999994</v>
      </c>
      <c r="Y1674" s="181">
        <f>Y390+Y548+Y651+Y939+Y1253+Y1557+Y1018+Y1082+Y1189+Y1372+Y1406+Y1501+Y1562+Y1567+Y1572+Y1577+Y1582+Y1587+Y1592+Y1597+Y1602</f>
        <v>263848.79000000004</v>
      </c>
      <c r="Z1674" s="519">
        <f>Z390+Z548+Z651+Z939+Z1253+Z1018+Z1082+Z1189+Z1372+Z1406+Z1458+Z1501+Z1567+Z1572+Z1577+Z1582+Z1587+Z1592+Z1597+Z1602</f>
        <v>450656.85000000003</v>
      </c>
      <c r="AA1674" s="562">
        <f>AA390+AA548+AA939+AA1253+AA1018+AA1082+AA1189+AA1372+AA1406+AA1458+AA1501+AA1572+AA1577+AA1587+AA1597+AA1602</f>
        <v>402801.11</v>
      </c>
      <c r="AB1674" s="181">
        <f>AB548+AB939+AB1253+AB1018+AB1082+AB1189+AB1372+AB1406+AB1458+AB1501+AB1577+AB1587+AB1597+AB1602</f>
        <v>361193.09</v>
      </c>
      <c r="AC1674" s="181">
        <f>AC548+AC939+AC1253+AC1018+AC1082+AC1189+AC1372+AC1406+AC1458+AC1501+AC1587+AC1597+AC1602</f>
        <v>324479.01999999996</v>
      </c>
      <c r="AD1674" s="181">
        <f>AD939+AD1253+AD1018+AD1082+AD1189+AD1372+AD1406+AD1458+AD1501+AD1587+AD1597+AD1602</f>
        <v>288481.17</v>
      </c>
      <c r="AE1674" s="181">
        <f>AE939+AE1253+AE1082+AE1189+AE1372+AE1406+AE1458+AE1501+AE1587+AE1597+AE1602</f>
        <v>255907.25</v>
      </c>
      <c r="AF1674" s="181">
        <f>AF939+AF1253+AF1082+AF1189+AF1372+AF1406+AF1458+AF1501</f>
        <v>227536.25</v>
      </c>
      <c r="AG1674" s="181">
        <f>AG939+AG1253+AG1189+AG1372+AG1406+AG1458+AG1501</f>
        <v>200081.25</v>
      </c>
      <c r="AH1674" s="181">
        <f>AH939+AH1253+AH1189+AH1372+AH1406+AH1458+AH1501</f>
        <v>175726.25</v>
      </c>
      <c r="AI1674" s="181">
        <f>AI1253+AI1189+AI1372+AI1406+AI1458+AI1501</f>
        <v>151906.25</v>
      </c>
      <c r="AJ1674" s="181">
        <f>AJ1253+AJ1189+AJ1372+AJ1406+AJ1458+AJ1501+AJ1617</f>
        <v>202500.12</v>
      </c>
      <c r="AK1674" s="181">
        <f>AK1253+AK1189+AK1372+AK1406+AK1458+AK1501+AK1617</f>
        <v>209107.24</v>
      </c>
      <c r="AL1674" s="181">
        <f>AL1253+AL1189+AL1372+AL1406+AL1458+AL1501+AL1617</f>
        <v>176763.05</v>
      </c>
      <c r="AM1674" s="181">
        <f>AM1253+AM1372+AM1406+AM1458+AM1501+AM1617</f>
        <v>145766.79999999999</v>
      </c>
      <c r="AN1674" s="181">
        <f>AN1372+AN1406+AN1458+AN1501+AN1617</f>
        <v>115584.52</v>
      </c>
      <c r="AO1674" s="181">
        <f>AO1372+AO1406+AO1458+AO1501+AO1617</f>
        <v>87938.239999999991</v>
      </c>
      <c r="AP1674" s="181">
        <f>AP1372+AP1406+AP1458+AP1501+AP1617</f>
        <v>59912.26</v>
      </c>
      <c r="AQ1674" s="181">
        <f>AQ1406+AQ1458+AQ1501+AQ1617</f>
        <v>31221.88</v>
      </c>
      <c r="AR1674" s="181">
        <f>AR1458+AR1501</f>
        <v>13225</v>
      </c>
      <c r="AS1674" s="181">
        <f>AS1501</f>
        <v>4812.5</v>
      </c>
      <c r="AT1674" s="40" t="s">
        <v>11</v>
      </c>
    </row>
    <row r="1675" spans="1:46" s="178" customFormat="1" x14ac:dyDescent="0.25">
      <c r="A1675" s="177"/>
      <c r="B1675" s="177"/>
      <c r="C1675" s="306"/>
      <c r="H1675" s="153"/>
      <c r="I1675" s="153"/>
      <c r="J1675" s="153"/>
      <c r="K1675" s="188" t="s">
        <v>386</v>
      </c>
      <c r="L1675" s="181">
        <f>L1553+L1558+L1563+L1568+L1573+L1578+L1583+L1588+L1593+L1598+L1603+L1613+L1618+L1625</f>
        <v>7625.7699999999995</v>
      </c>
      <c r="M1675" s="181">
        <f>M1553+M1558+M1563+M1568+M1573+M1578+M1583+M1588+M1593+M1598+M1603+M1613+M1618+M1625</f>
        <v>19269.150000000001</v>
      </c>
      <c r="N1675" s="181">
        <f>N1553+N1558+N1563+N1568+N1573+N1578+N1583+N1588+N1593+N1598+N1603+N1613+N1618+N1625</f>
        <v>28365</v>
      </c>
      <c r="O1675" s="181">
        <f>O1553+O1558+O1563+O1568+O1573+O1578+O1583+O1588+O1593+O1598+O1603+O1618+O1625</f>
        <v>28253.74</v>
      </c>
      <c r="P1675" s="181">
        <f t="shared" ref="P1675:U1675" si="1520">P1528+P1553+P1558+P1563+P1568+P1573+P1578+P1583+P1588+P1593+P1598+P1603+P1618+P1625</f>
        <v>45328.5</v>
      </c>
      <c r="Q1675" s="181">
        <f t="shared" si="1520"/>
        <v>34860.080000000002</v>
      </c>
      <c r="R1675" s="181">
        <f t="shared" si="1520"/>
        <v>40686.479999999996</v>
      </c>
      <c r="S1675" s="181">
        <f t="shared" si="1520"/>
        <v>38895.120000000003</v>
      </c>
      <c r="T1675" s="181">
        <f t="shared" si="1520"/>
        <v>37067.01</v>
      </c>
      <c r="U1675" s="181">
        <f t="shared" si="1520"/>
        <v>35205.340000000004</v>
      </c>
      <c r="V1675" s="181">
        <f>V1553+V1558+V1563+V1568+V1573+V1578+V1583+V1588+V1593+V1598+V1603+V1618+V1625</f>
        <v>33373.360000000001</v>
      </c>
      <c r="W1675" s="181">
        <f>W1553+W1558+W1563+W1568+W1573+W1578+W1583+W1588+W1593+W1598+W1603+W1618+W1625</f>
        <v>31570.489999999998</v>
      </c>
      <c r="X1675" s="181">
        <f>X1553+X1558+X1563+X1568+X1573+X1578+X1583+X1588+X1593+X1598+X1603+X1618+X1625</f>
        <v>29736.18</v>
      </c>
      <c r="Y1675" s="181">
        <f>Y1558+Y1563+Y1568+Y1573+Y1578+Y1583+Y1588+Y1593+Y1598+Y1603+Y1618+Y1625</f>
        <v>27932.61</v>
      </c>
      <c r="Z1675" s="519">
        <f>Z1568+Z1573+Z1578+Z1583+Z1588+Z1593+Z1598+Z1603+Z1618+Z1625</f>
        <v>26232.93</v>
      </c>
      <c r="AA1675" s="562">
        <f>AA1573+AA1578+AA1588+AA1598+AA1603+AA1618+AA1625</f>
        <v>24676.31</v>
      </c>
      <c r="AB1675" s="181">
        <f>AB1578+AB1588+AB1598+AB1603+AB1618+AB1625</f>
        <v>23239.77</v>
      </c>
      <c r="AC1675" s="181">
        <f>AC1588+AC1598+AC1603+AC1618+AC1625</f>
        <v>21864</v>
      </c>
      <c r="AD1675" s="181">
        <f>AD1588+AD1598+AD1603+AD1618+AD1625</f>
        <v>20508.22</v>
      </c>
      <c r="AE1675" s="181">
        <f>AE1588+AE1598+AE1603+AE1618+AE1625</f>
        <v>19132.03</v>
      </c>
      <c r="AF1675" s="181">
        <f t="shared" ref="AF1675:AQ1675" si="1521">AF1618+AF1625</f>
        <v>17785.93</v>
      </c>
      <c r="AG1675" s="181">
        <f t="shared" si="1521"/>
        <v>16470.439999999999</v>
      </c>
      <c r="AH1675" s="181">
        <f t="shared" si="1521"/>
        <v>15135.12</v>
      </c>
      <c r="AI1675" s="181">
        <f t="shared" si="1521"/>
        <v>13779.5</v>
      </c>
      <c r="AJ1675" s="181">
        <f t="shared" si="1521"/>
        <v>12403.11</v>
      </c>
      <c r="AK1675" s="181">
        <f t="shared" si="1521"/>
        <v>11005.39</v>
      </c>
      <c r="AL1675" s="181">
        <f t="shared" si="1521"/>
        <v>9585.84</v>
      </c>
      <c r="AM1675" s="181">
        <f t="shared" si="1521"/>
        <v>8143.93</v>
      </c>
      <c r="AN1675" s="181">
        <f t="shared" si="1521"/>
        <v>6679.08</v>
      </c>
      <c r="AO1675" s="181">
        <f t="shared" si="1521"/>
        <v>5190.76</v>
      </c>
      <c r="AP1675" s="181">
        <f t="shared" si="1521"/>
        <v>3678.39</v>
      </c>
      <c r="AQ1675" s="181">
        <f t="shared" si="1521"/>
        <v>2141.38</v>
      </c>
      <c r="AR1675" s="181">
        <f>AR1625</f>
        <v>1093.28</v>
      </c>
      <c r="AS1675" s="181">
        <f>AS1625</f>
        <v>546.62</v>
      </c>
      <c r="AT1675" s="178" t="s">
        <v>11</v>
      </c>
    </row>
    <row r="1676" spans="1:46" s="178" customFormat="1" ht="13.8" thickBot="1" x14ac:dyDescent="0.3">
      <c r="A1676" s="177"/>
      <c r="B1676" s="177"/>
      <c r="C1676" s="306"/>
      <c r="H1676" s="189"/>
      <c r="I1676" s="189"/>
      <c r="J1676" s="189"/>
      <c r="K1676" s="190" t="s">
        <v>5</v>
      </c>
      <c r="L1676" s="185">
        <f>L1675+L1674+L1673</f>
        <v>1242626.1200000003</v>
      </c>
      <c r="M1676" s="185">
        <f>M1675+M1674+M1673</f>
        <v>1463302.15</v>
      </c>
      <c r="N1676" s="185">
        <f>N1675+N1674+N1673</f>
        <v>1702659.64</v>
      </c>
      <c r="O1676" s="185">
        <f t="shared" ref="O1676" si="1522">O1675+O1674+O1673</f>
        <v>1513795.0499999998</v>
      </c>
      <c r="P1676" s="185">
        <f t="shared" ref="P1676:X1676" si="1523">P1675+P1674+P1673</f>
        <v>2289312.56</v>
      </c>
      <c r="Q1676" s="185">
        <f t="shared" si="1523"/>
        <v>2259554.21</v>
      </c>
      <c r="R1676" s="185">
        <f t="shared" si="1523"/>
        <v>2217903.2599999998</v>
      </c>
      <c r="S1676" s="185">
        <f t="shared" si="1523"/>
        <v>2246832.54</v>
      </c>
      <c r="T1676" s="185">
        <f t="shared" si="1523"/>
        <v>2241623.1839999999</v>
      </c>
      <c r="U1676" s="185">
        <f t="shared" si="1523"/>
        <v>2152616.0300000003</v>
      </c>
      <c r="V1676" s="185">
        <f t="shared" si="1523"/>
        <v>2088976.48</v>
      </c>
      <c r="W1676" s="185">
        <f t="shared" si="1523"/>
        <v>2050022.9000000001</v>
      </c>
      <c r="X1676" s="185">
        <f t="shared" si="1523"/>
        <v>2398074.34</v>
      </c>
      <c r="Y1676" s="185">
        <f t="shared" ref="Y1676:Z1676" si="1524">Y1675+Y1674+Y1673</f>
        <v>2274478.3699999996</v>
      </c>
      <c r="Z1676" s="525">
        <f t="shared" si="1524"/>
        <v>2709340.6100000003</v>
      </c>
      <c r="AA1676" s="569">
        <f t="shared" ref="AA1676:AB1676" si="1525">AA1675+AA1674+AA1673</f>
        <v>2340691.06</v>
      </c>
      <c r="AB1676" s="185">
        <f t="shared" si="1525"/>
        <v>2166719.7399999998</v>
      </c>
      <c r="AC1676" s="185">
        <f t="shared" ref="AC1676" si="1526">AC1675+AC1674+AC1673</f>
        <v>2068573.67</v>
      </c>
      <c r="AD1676" s="185">
        <f t="shared" ref="AD1676:AQ1676" si="1527">AD1675+AD1674+AD1673</f>
        <v>1999641.98</v>
      </c>
      <c r="AE1676" s="185">
        <f t="shared" si="1527"/>
        <v>1859436.5599999998</v>
      </c>
      <c r="AF1676" s="185">
        <f t="shared" si="1527"/>
        <v>1770853.75</v>
      </c>
      <c r="AG1676" s="185">
        <f t="shared" si="1527"/>
        <v>1695130.01</v>
      </c>
      <c r="AH1676" s="185">
        <f t="shared" si="1527"/>
        <v>1682803.4900000002</v>
      </c>
      <c r="AI1676" s="185">
        <f t="shared" si="1527"/>
        <v>1611320.4</v>
      </c>
      <c r="AJ1676" s="185">
        <f t="shared" si="1527"/>
        <v>1659564.82</v>
      </c>
      <c r="AK1676" s="185">
        <f t="shared" si="1527"/>
        <v>1679145.25</v>
      </c>
      <c r="AL1676" s="185">
        <f t="shared" si="1527"/>
        <v>1605105.2699999998</v>
      </c>
      <c r="AM1676" s="185">
        <f>AM1675+AM1674+AM1673</f>
        <v>1547753.28</v>
      </c>
      <c r="AN1676" s="185">
        <f t="shared" si="1527"/>
        <v>1446561.35</v>
      </c>
      <c r="AO1676" s="185">
        <f t="shared" si="1527"/>
        <v>1433264.63</v>
      </c>
      <c r="AP1676" s="185">
        <f t="shared" si="1527"/>
        <v>1419952.47</v>
      </c>
      <c r="AQ1676" s="185">
        <f t="shared" si="1527"/>
        <v>1311350.18</v>
      </c>
      <c r="AR1676" s="185">
        <f t="shared" ref="AR1676:AS1676" si="1528">AR1675+AR1674+AR1673</f>
        <v>578766.83000000007</v>
      </c>
      <c r="AS1676" s="185">
        <f t="shared" si="1528"/>
        <v>479767.41</v>
      </c>
      <c r="AT1676" s="186" t="s">
        <v>11</v>
      </c>
    </row>
    <row r="1677" spans="1:46" ht="13.8" thickTop="1" x14ac:dyDescent="0.25">
      <c r="G1677" s="1"/>
      <c r="H1677" s="275" t="s">
        <v>434</v>
      </c>
      <c r="I1677" s="153"/>
      <c r="J1677" s="153"/>
      <c r="K1677" s="344" t="s">
        <v>718</v>
      </c>
      <c r="L1677" s="181"/>
      <c r="M1677" s="181"/>
      <c r="N1677" s="205"/>
      <c r="O1677" s="205"/>
      <c r="P1677" s="205">
        <v>62788</v>
      </c>
      <c r="Q1677" s="174"/>
      <c r="Z1677" s="490"/>
      <c r="AA1677" s="60"/>
    </row>
    <row r="1678" spans="1:46" x14ac:dyDescent="0.25">
      <c r="G1678" s="1"/>
      <c r="H1678" s="279" t="s">
        <v>435</v>
      </c>
      <c r="I1678" s="266"/>
      <c r="J1678" s="266"/>
      <c r="K1678" s="344" t="s">
        <v>718</v>
      </c>
      <c r="L1678" s="280"/>
      <c r="M1678" s="181"/>
      <c r="N1678" s="205"/>
      <c r="O1678" s="205">
        <v>23500</v>
      </c>
      <c r="P1678" s="205"/>
      <c r="Q1678" s="174"/>
      <c r="Z1678" s="490"/>
      <c r="AA1678" s="60"/>
    </row>
    <row r="1679" spans="1:46" ht="13.8" thickBot="1" x14ac:dyDescent="0.3">
      <c r="G1679" s="1"/>
      <c r="H1679" s="268"/>
      <c r="I1679" s="268"/>
      <c r="J1679" s="268"/>
      <c r="K1679" s="190" t="s">
        <v>5</v>
      </c>
      <c r="L1679" s="281"/>
      <c r="M1679" s="281"/>
      <c r="N1679" s="185">
        <f>N1678+N1677+N1676</f>
        <v>1702659.64</v>
      </c>
      <c r="O1679" s="185">
        <f>O1678+O1677+O1676</f>
        <v>1537295.0499999998</v>
      </c>
      <c r="P1679" s="185">
        <f>P1678+P1677+P1676</f>
        <v>2352100.56</v>
      </c>
      <c r="Q1679" s="174"/>
      <c r="Z1679" s="490"/>
      <c r="AA1679" s="60"/>
    </row>
    <row r="1680" spans="1:46" ht="13.8" thickTop="1" x14ac:dyDescent="0.25">
      <c r="G1680" s="1"/>
      <c r="H1680" s="1"/>
      <c r="I1680" s="3"/>
      <c r="J1680" s="3"/>
      <c r="L1680" s="174"/>
      <c r="M1680" s="174"/>
      <c r="N1680" s="174"/>
      <c r="O1680" s="174"/>
      <c r="P1680" s="174"/>
      <c r="Q1680" s="174"/>
      <c r="Z1680" s="490"/>
      <c r="AA1680" s="60"/>
    </row>
    <row r="1681" spans="1:46" s="178" customFormat="1" x14ac:dyDescent="0.25">
      <c r="A1681" s="177"/>
      <c r="B1681" s="177"/>
      <c r="C1681" s="306"/>
      <c r="H1681" s="199"/>
      <c r="I1681" s="199"/>
      <c r="J1681" s="199" t="s">
        <v>7</v>
      </c>
      <c r="K1681" s="200" t="s">
        <v>1</v>
      </c>
      <c r="L1681" s="181">
        <f t="shared" ref="L1681:N1682" si="1529">L30+L109+L167+L273+L395+L459+L562+L668+L832+L1531+L1536</f>
        <v>800496.97</v>
      </c>
      <c r="M1681" s="181">
        <f t="shared" si="1529"/>
        <v>769162.98</v>
      </c>
      <c r="N1681" s="181">
        <f t="shared" si="1529"/>
        <v>787332.91</v>
      </c>
      <c r="O1681" s="181">
        <f>O30+O109+O273+O395+O459+O562+O668+O832+O1531+O1536</f>
        <v>743884.68</v>
      </c>
      <c r="P1681" s="181">
        <f>P30+P109+P273+P395+P459+P562+P668+P832+P1029+P1531+P1536</f>
        <v>827902.01</v>
      </c>
      <c r="Q1681" s="181">
        <f>Q30+Q109+Q273+Q395+Q459+Q562+Q668+Q832+Q1029+Q1087+Q1531+Q1536</f>
        <v>904482.73</v>
      </c>
      <c r="R1681" s="181">
        <f>R30+R109+R273+R395+R459+R562+R668+R832+R1029+R1087+R1133+R1531+R1536</f>
        <v>961183.67</v>
      </c>
      <c r="S1681" s="181">
        <f>S30+S109+S273+S395+S459+S562+S668+S832+S1029+S1087+S1133+S1197+S1531+S1536</f>
        <v>1028745.5099999999</v>
      </c>
      <c r="T1681" s="181">
        <f>T30+T109+T395+T459+T562+T668+T832+T1029+T1087+T1133+T1197+T1258+T1531+T1536</f>
        <v>994517.56</v>
      </c>
      <c r="U1681" s="181">
        <f>U109+U395+U459+U562+U668+U832+U1029+U1087+U1133+U1197+U1258+U1531+U1536</f>
        <v>895229.56</v>
      </c>
      <c r="V1681" s="181">
        <f>V109+V395+V459+V562+V668+V832+V1029+V1087+V1133+V1197+V1258+V1307</f>
        <v>770000</v>
      </c>
      <c r="W1681" s="181">
        <f>W109+W395+W459+W562+W668+W832+W1029+W1087+W1133+W1197+W1258+W1307+W1423</f>
        <v>765000</v>
      </c>
      <c r="X1681" s="181">
        <f>X395+X459+X562+X668+X832+X1029+X1087+X1133+X1197+X1258+X1307+X1383+X1423</f>
        <v>970000</v>
      </c>
      <c r="Y1681" s="181">
        <f>Y395+Y459+Y562+Y668+Y832+Y1029+Y1087+Y1133+Y1197+Y1258+Y1307+Y1383+Y1423+Y1509+Y1635</f>
        <v>955000</v>
      </c>
      <c r="Z1681" s="519">
        <f>Z395+Z459+Z562+Z668+Z832+Z1029+Z1087+Z1133+Z1197+Z1258+Z1307+Z1383+Z1423+Z1472+Z1509+Z1630+Z1635</f>
        <v>1418285</v>
      </c>
      <c r="AA1681" s="562">
        <f>AA395+AA459+AA562+AA832+AA1029+AA1087+AA1133+AA1197+AA1258+AA1307+AA1383+AA1423+AA1472+AA1509+AA1630+AA1635</f>
        <v>1363777</v>
      </c>
      <c r="AB1681" s="181">
        <f>AB459+AB562+AB832+AB1029+AB1087+AB1133+AB1197+AB1258+AB1307+AB1383+AB1423+AB1472+AB1509+AB1630+AB1635</f>
        <v>1259271</v>
      </c>
      <c r="AC1681" s="181">
        <f>AC562+AC1029+AC1087+AC1133+AC1197+AC1258+AC1307+AC1383+AC1423+AC1472+AC1509+AC1630+AC1635</f>
        <v>1089766</v>
      </c>
      <c r="AD1681" s="181">
        <f>AD1029+AD1087+AD1133+AD1197+AD1258+AD1307+AD1383+AD1423+AD1472+AD1509+AD1630+AD1635</f>
        <v>1015260</v>
      </c>
      <c r="AE1681" s="181">
        <f>AE1087+AE1133+AE1197+AE1258+AE1307+AE1383+AE1423+AE1472+AE1509+AE1630+AE1635</f>
        <v>905757</v>
      </c>
      <c r="AF1681" s="181">
        <f>AF1087+AF1133+AF1197+AF1258+AF1307+AF1383+AF1423+AF1472+AF1509+AF1630+AF1635</f>
        <v>871253</v>
      </c>
      <c r="AG1681" s="181">
        <f t="shared" ref="AG1681:AL1681" si="1530">AG1197+AG1258+AG1307+AG1383+AG1423+AG1472+AG1509+AG1630+AG1635</f>
        <v>726750</v>
      </c>
      <c r="AH1681" s="181">
        <f t="shared" si="1530"/>
        <v>727249</v>
      </c>
      <c r="AI1681" s="181">
        <f t="shared" si="1530"/>
        <v>727747</v>
      </c>
      <c r="AJ1681" s="181">
        <f t="shared" si="1530"/>
        <v>728247</v>
      </c>
      <c r="AK1681" s="181">
        <f t="shared" si="1530"/>
        <v>728746</v>
      </c>
      <c r="AL1681" s="181">
        <f t="shared" si="1530"/>
        <v>729248</v>
      </c>
      <c r="AM1681" s="181">
        <f>AM1258+AM1307+AM1383+AM1423+AM1472+AM1509+AM1630+AM1635</f>
        <v>624749</v>
      </c>
      <c r="AN1681" s="181">
        <f>AN1307+AN1383+AN1423+AN1472+AN1509+AN1630+AN1635</f>
        <v>565252</v>
      </c>
      <c r="AO1681" s="181">
        <f>AO1307+AO1383+AO1423+AO1472+AO1509+AO1630+AO1635</f>
        <v>565755</v>
      </c>
      <c r="AP1681" s="181">
        <f>AP1383+AP1423+AP1472+AP1509+AP1630+AP1635</f>
        <v>491259</v>
      </c>
      <c r="AQ1681" s="181">
        <f>AQ1423+AQ1472+AQ1509+AQ1630+AQ1635</f>
        <v>461764</v>
      </c>
      <c r="AR1681" s="181">
        <f>AR1472+AR1509+AR1630+AR1635</f>
        <v>407269</v>
      </c>
      <c r="AS1681" s="181">
        <f>AS1509+AS1635</f>
        <v>194995</v>
      </c>
      <c r="AT1681" s="40" t="s">
        <v>11</v>
      </c>
    </row>
    <row r="1682" spans="1:46" s="178" customFormat="1" x14ac:dyDescent="0.25">
      <c r="A1682" s="177"/>
      <c r="B1682" s="177"/>
      <c r="C1682" s="306"/>
      <c r="H1682" s="201"/>
      <c r="I1682" s="201"/>
      <c r="J1682" s="201"/>
      <c r="K1682" s="200" t="s">
        <v>2</v>
      </c>
      <c r="L1682" s="181">
        <f t="shared" si="1529"/>
        <v>283336.70999999996</v>
      </c>
      <c r="M1682" s="181">
        <f t="shared" si="1529"/>
        <v>251462.16</v>
      </c>
      <c r="N1682" s="181">
        <f t="shared" si="1529"/>
        <v>232138.30999999997</v>
      </c>
      <c r="O1682" s="181">
        <f>O31+O110+O274+O396+O460+O563+O669+O833+O1532+O1537</f>
        <v>204939.39</v>
      </c>
      <c r="P1682" s="181">
        <f>P31+P110+P274+P396+P460+P563+P669+P833+P1030+P1532+P1537</f>
        <v>204132.98</v>
      </c>
      <c r="Q1682" s="181">
        <f>Q31+Q110+Q274+Q396+Q460+Q563+Q669+Q833+Q1030+Q1088+Q1532+Q1537</f>
        <v>217061.58</v>
      </c>
      <c r="R1682" s="181">
        <f>R31+R110+R274+R396+R460+R563+R669+R833+R1030+R1088+R1134+R1532+R1537</f>
        <v>206720.25</v>
      </c>
      <c r="S1682" s="181">
        <f>S31+S110+S274+S396+S460+S563+S669+S833+S1030+S1088+S1134+S1198+S1532+S1537</f>
        <v>256401.01</v>
      </c>
      <c r="T1682" s="181">
        <f>T31+T110+T396+T460+T563+T669+T833+T1030+T1088+T1134+T1198+T1259+T1532+T1537</f>
        <v>268313.10000000003</v>
      </c>
      <c r="U1682" s="181">
        <f>U110+U396+U460+U563+U669+U833+U1030+U1088+U1134+U1198+U1259+U1532+U1537</f>
        <v>238195</v>
      </c>
      <c r="V1682" s="181">
        <f>V110+V396+V460+V563+V669+V833+V1030+V1088+V1134+V1198+V1259+V1308</f>
        <v>271240</v>
      </c>
      <c r="W1682" s="181">
        <f>W110+W396+W460+W563+W669+W833+W1030+W1088+W1134+W1198+W1259+W1308+W1424</f>
        <v>238660</v>
      </c>
      <c r="X1682" s="181">
        <f>X396+X460+X563+X669+X833+X1030+X1088+X1134+X1198+X1259+X1308+X1384+X1424</f>
        <v>309164.79999999999</v>
      </c>
      <c r="Y1682" s="181">
        <f>Y396+Y460+Y563+Y669+Y833+Y1030+Y1088+Y1134+Y1198+Y1259+Y1308+Y1384+Y1424+Y1510+Y1636</f>
        <v>269516.87</v>
      </c>
      <c r="Z1682" s="519">
        <f>Z396+Z460+Z563+Z669+Z833+Z1030+Z1088+Z1134+Z1198+Z1259+Z1308+Z1384+Z1424+Z1473+Z1510</f>
        <v>327160.09999999998</v>
      </c>
      <c r="AA1682" s="562">
        <f>AA396+AA460+AA563+AA833+AA1030+AA1088+AA1134+AA1198+AA1259+AA1308+AA1384+AA1424+AA1473+AA1510</f>
        <v>281120.63</v>
      </c>
      <c r="AB1682" s="181">
        <f>AB460+AB563+AB833+AB1030+AB1088+AB1134+AB1198+AB1259+AB1308+AB1384+AB1424+AB1473+AB1510</f>
        <v>238811.87</v>
      </c>
      <c r="AC1682" s="181">
        <f>AC563+AC1030+AC1088+AC1134+AC1198+AC1259+AC1308+AC1384+AC1424+AC1473+AC1510</f>
        <v>206275</v>
      </c>
      <c r="AD1682" s="181">
        <f>AD1030+AD1088+AD1134+AD1198+AD1259+AD1308+AD1384+AD1424+AD1473+AD1510</f>
        <v>177625</v>
      </c>
      <c r="AE1682" s="181">
        <f>AE1088+AE1134+AE1198+AE1259+AE1308+AE1384+AE1424+AE1473+AE1510</f>
        <v>154912.5</v>
      </c>
      <c r="AF1682" s="181">
        <f>AF1088+AF1134+AF1198+AF1259+AF1308+AF1384+AF1424+AF1473+AF1510</f>
        <v>135900</v>
      </c>
      <c r="AG1682" s="181">
        <f t="shared" ref="AG1682:AL1682" si="1531">AG1198+AG1259+AG1308+AG1384+AG1424+AG1473+AG1510</f>
        <v>117587.5</v>
      </c>
      <c r="AH1682" s="181">
        <f t="shared" si="1531"/>
        <v>103575</v>
      </c>
      <c r="AI1682" s="181">
        <f t="shared" si="1531"/>
        <v>90012.5</v>
      </c>
      <c r="AJ1682" s="181">
        <f t="shared" si="1531"/>
        <v>77100</v>
      </c>
      <c r="AK1682" s="181">
        <f t="shared" si="1531"/>
        <v>64387.5</v>
      </c>
      <c r="AL1682" s="181">
        <f t="shared" si="1531"/>
        <v>51675</v>
      </c>
      <c r="AM1682" s="181">
        <f>AM1259+AM1308+AM1384+AM1424+AM1473+AM1510</f>
        <v>38962.5</v>
      </c>
      <c r="AN1682" s="181">
        <f>AN1308+AN1384+AN1424+AN1473+AN1510</f>
        <v>29625</v>
      </c>
      <c r="AO1682" s="181">
        <f>AO1308+AO1384+AO1424+AO1473+AO1510</f>
        <v>22087.5</v>
      </c>
      <c r="AP1682" s="181">
        <f>AP1384+AP1424+AP1473+AP1510</f>
        <v>14550</v>
      </c>
      <c r="AQ1682" s="181">
        <f>AQ1424+AQ1473+AQ1510</f>
        <v>8562.5</v>
      </c>
      <c r="AR1682" s="181">
        <f>AR1473+AR1510</f>
        <v>3512.5</v>
      </c>
      <c r="AS1682" s="181">
        <f>AS1510</f>
        <v>656.26</v>
      </c>
      <c r="AT1682" s="40" t="s">
        <v>11</v>
      </c>
    </row>
    <row r="1683" spans="1:46" s="178" customFormat="1" x14ac:dyDescent="0.25">
      <c r="A1683" s="177"/>
      <c r="B1683" s="177"/>
      <c r="C1683" s="306"/>
      <c r="H1683" s="201"/>
      <c r="I1683" s="201"/>
      <c r="J1683" s="201"/>
      <c r="K1683" s="200" t="s">
        <v>386</v>
      </c>
      <c r="L1683" s="181">
        <f t="shared" ref="L1683:U1683" si="1532">L1533+L1538</f>
        <v>3487.5</v>
      </c>
      <c r="M1683" s="181">
        <f t="shared" si="1532"/>
        <v>3172.5</v>
      </c>
      <c r="N1683" s="181">
        <f t="shared" si="1532"/>
        <v>2754.3</v>
      </c>
      <c r="O1683" s="181">
        <f t="shared" si="1532"/>
        <v>2512.5</v>
      </c>
      <c r="P1683" s="181">
        <f t="shared" si="1532"/>
        <v>2167.5</v>
      </c>
      <c r="Q1683" s="181">
        <f t="shared" si="1532"/>
        <v>1811.25</v>
      </c>
      <c r="R1683" s="181">
        <f t="shared" si="1532"/>
        <v>1436.25</v>
      </c>
      <c r="S1683" s="181">
        <f t="shared" si="1532"/>
        <v>1046.25</v>
      </c>
      <c r="T1683" s="181">
        <f t="shared" si="1532"/>
        <v>641.25</v>
      </c>
      <c r="U1683" s="181">
        <f t="shared" si="1532"/>
        <v>225</v>
      </c>
      <c r="V1683" s="181">
        <v>0</v>
      </c>
      <c r="W1683" s="181"/>
      <c r="X1683" s="181"/>
      <c r="Y1683" s="181">
        <f t="shared" ref="Y1683" si="1533">Y1637</f>
        <v>0</v>
      </c>
      <c r="Z1683" s="519">
        <f>Z1637+Z1632</f>
        <v>9443.0600000000013</v>
      </c>
      <c r="AA1683" s="562">
        <f>AA1637+AA1632</f>
        <v>9261.16</v>
      </c>
      <c r="AB1683" s="181">
        <f t="shared" ref="AB1683" si="1534">AB1637+AB1632</f>
        <v>8768</v>
      </c>
      <c r="AC1683" s="181">
        <f t="shared" ref="AC1683" si="1535">AC1637+AC1632</f>
        <v>8274.1</v>
      </c>
      <c r="AD1683" s="181">
        <f t="shared" ref="AD1683:AE1683" si="1536">AD1637+AD1632</f>
        <v>7779.46</v>
      </c>
      <c r="AE1683" s="181">
        <f t="shared" si="1536"/>
        <v>7284.0599999999995</v>
      </c>
      <c r="AF1683" s="181">
        <f t="shared" ref="AF1683:AG1683" si="1537">AF1637+AF1632</f>
        <v>6787.92</v>
      </c>
      <c r="AG1683" s="181">
        <f t="shared" si="1537"/>
        <v>6291.0599999999995</v>
      </c>
      <c r="AH1683" s="181">
        <f t="shared" ref="AH1683:AM1683" si="1538">AH1637+AH1632</f>
        <v>5793.42</v>
      </c>
      <c r="AI1683" s="181">
        <f t="shared" si="1538"/>
        <v>5295.0400000000009</v>
      </c>
      <c r="AJ1683" s="181">
        <f t="shared" si="1538"/>
        <v>4795.92</v>
      </c>
      <c r="AK1683" s="181">
        <f t="shared" si="1538"/>
        <v>4296.0600000000004</v>
      </c>
      <c r="AL1683" s="181">
        <f t="shared" si="1538"/>
        <v>3795.4399999999996</v>
      </c>
      <c r="AM1683" s="181">
        <f t="shared" si="1538"/>
        <v>3294.06</v>
      </c>
      <c r="AN1683" s="181">
        <f t="shared" ref="AN1683:AO1683" si="1539">AN1637+AN1632</f>
        <v>2791.94</v>
      </c>
      <c r="AO1683" s="181">
        <f t="shared" si="1539"/>
        <v>2289.06</v>
      </c>
      <c r="AP1683" s="181">
        <f t="shared" ref="AP1683:AQ1683" si="1540">AP1637+AP1632</f>
        <v>1785.42</v>
      </c>
      <c r="AQ1683" s="181">
        <f t="shared" si="1540"/>
        <v>1281.04</v>
      </c>
      <c r="AR1683" s="181">
        <f t="shared" ref="AR1683" si="1541">AR1637+AR1632</f>
        <v>775.90000000000009</v>
      </c>
      <c r="AS1683" s="181">
        <f>AS1637</f>
        <v>270</v>
      </c>
      <c r="AT1683" s="178" t="s">
        <v>11</v>
      </c>
    </row>
    <row r="1684" spans="1:46" s="178" customFormat="1" ht="13.8" thickBot="1" x14ac:dyDescent="0.3">
      <c r="A1684" s="177"/>
      <c r="B1684" s="177"/>
      <c r="C1684" s="306"/>
      <c r="H1684" s="253"/>
      <c r="I1684" s="253"/>
      <c r="J1684" s="253"/>
      <c r="K1684" s="254" t="s">
        <v>5</v>
      </c>
      <c r="L1684" s="185">
        <f>L1683+L1682+L1681</f>
        <v>1087321.18</v>
      </c>
      <c r="M1684" s="185">
        <f>M1683+M1682+M1681</f>
        <v>1023797.64</v>
      </c>
      <c r="N1684" s="185">
        <f>N1683+N1682+N1681</f>
        <v>1022225.52</v>
      </c>
      <c r="O1684" s="185">
        <f t="shared" ref="O1684" si="1542">O1683+O1682+O1681</f>
        <v>951336.57000000007</v>
      </c>
      <c r="P1684" s="185">
        <f t="shared" ref="P1684:X1684" si="1543">P1683+P1682+P1681</f>
        <v>1034202.49</v>
      </c>
      <c r="Q1684" s="185">
        <f t="shared" si="1543"/>
        <v>1123355.56</v>
      </c>
      <c r="R1684" s="185">
        <f t="shared" si="1543"/>
        <v>1169340.17</v>
      </c>
      <c r="S1684" s="185">
        <f t="shared" si="1543"/>
        <v>1286192.77</v>
      </c>
      <c r="T1684" s="185">
        <f t="shared" si="1543"/>
        <v>1263471.9100000001</v>
      </c>
      <c r="U1684" s="185">
        <f t="shared" si="1543"/>
        <v>1133649.56</v>
      </c>
      <c r="V1684" s="185">
        <f t="shared" si="1543"/>
        <v>1041240</v>
      </c>
      <c r="W1684" s="185">
        <f t="shared" si="1543"/>
        <v>1003660</v>
      </c>
      <c r="X1684" s="185">
        <f t="shared" si="1543"/>
        <v>1279164.8</v>
      </c>
      <c r="Y1684" s="185">
        <f>Y1683+Y1682+Y1681</f>
        <v>1224516.8700000001</v>
      </c>
      <c r="Z1684" s="525">
        <f t="shared" ref="Z1684:AA1684" si="1544">Z1683+Z1682+Z1681</f>
        <v>1754888.16</v>
      </c>
      <c r="AA1684" s="569">
        <f t="shared" si="1544"/>
        <v>1654158.79</v>
      </c>
      <c r="AB1684" s="185">
        <f t="shared" ref="AB1684" si="1545">AB1683+AB1682+AB1681</f>
        <v>1506850.87</v>
      </c>
      <c r="AC1684" s="185">
        <f t="shared" ref="AC1684:AD1684" si="1546">AC1683+AC1682+AC1681</f>
        <v>1304315.1000000001</v>
      </c>
      <c r="AD1684" s="185">
        <f t="shared" si="1546"/>
        <v>1200664.46</v>
      </c>
      <c r="AE1684" s="185">
        <f t="shared" ref="AE1684:AF1684" si="1547">AE1683+AE1682+AE1681</f>
        <v>1067953.56</v>
      </c>
      <c r="AF1684" s="185">
        <f t="shared" si="1547"/>
        <v>1013940.92</v>
      </c>
      <c r="AG1684" s="185">
        <f t="shared" ref="AG1684:AL1684" si="1548">AG1683+AG1682+AG1681</f>
        <v>850628.56</v>
      </c>
      <c r="AH1684" s="185">
        <f t="shared" si="1548"/>
        <v>836617.42</v>
      </c>
      <c r="AI1684" s="185">
        <f t="shared" si="1548"/>
        <v>823054.54</v>
      </c>
      <c r="AJ1684" s="185">
        <f t="shared" si="1548"/>
        <v>810142.92</v>
      </c>
      <c r="AK1684" s="185">
        <f t="shared" si="1548"/>
        <v>797429.56</v>
      </c>
      <c r="AL1684" s="185">
        <f t="shared" si="1548"/>
        <v>784718.44</v>
      </c>
      <c r="AM1684" s="185">
        <f t="shared" ref="AM1684:AO1684" si="1549">AM1683+AM1682+AM1681</f>
        <v>667005.56000000006</v>
      </c>
      <c r="AN1684" s="185">
        <f t="shared" si="1549"/>
        <v>597668.93999999994</v>
      </c>
      <c r="AO1684" s="185">
        <f t="shared" si="1549"/>
        <v>590131.56000000006</v>
      </c>
      <c r="AP1684" s="185">
        <f>AP1683+AP1682+AP1681</f>
        <v>507594.42</v>
      </c>
      <c r="AQ1684" s="185">
        <f>AQ1683+AQ1682+AQ1681</f>
        <v>471607.54</v>
      </c>
      <c r="AR1684" s="185">
        <f>AR1683+AR1682+AR1681</f>
        <v>411557.4</v>
      </c>
      <c r="AS1684" s="185">
        <f>AS1683+AS1682+AS1681</f>
        <v>195921.26</v>
      </c>
      <c r="AT1684" s="186" t="s">
        <v>11</v>
      </c>
    </row>
    <row r="1685" spans="1:46" s="178" customFormat="1" ht="13.8" thickTop="1" x14ac:dyDescent="0.25">
      <c r="A1685" s="177"/>
      <c r="B1685" s="177"/>
      <c r="C1685" s="306"/>
      <c r="H1685" s="40"/>
      <c r="I1685" s="40"/>
      <c r="J1685" s="40"/>
      <c r="K1685" s="248"/>
      <c r="L1685" s="181"/>
      <c r="M1685" s="181"/>
      <c r="N1685" s="181"/>
      <c r="O1685" s="181"/>
      <c r="P1685" s="181"/>
      <c r="Q1685" s="181"/>
      <c r="R1685" s="181"/>
      <c r="S1685" s="181"/>
      <c r="T1685" s="181"/>
      <c r="U1685" s="181"/>
      <c r="V1685" s="181"/>
      <c r="W1685" s="181"/>
      <c r="X1685" s="181"/>
      <c r="Y1685" s="181"/>
      <c r="Z1685" s="519"/>
      <c r="AA1685" s="562"/>
      <c r="AB1685" s="181"/>
      <c r="AC1685" s="181"/>
      <c r="AE1685" s="181"/>
      <c r="AF1685" s="181"/>
      <c r="AG1685" s="181"/>
      <c r="AH1685" s="181"/>
      <c r="AI1685" s="181"/>
      <c r="AJ1685" s="181"/>
      <c r="AK1685" s="181"/>
      <c r="AL1685" s="181"/>
      <c r="AM1685" s="181"/>
      <c r="AN1685" s="181"/>
      <c r="AO1685" s="181"/>
      <c r="AP1685" s="181"/>
      <c r="AQ1685" s="181"/>
      <c r="AR1685" s="181"/>
      <c r="AS1685" s="181"/>
      <c r="AT1685" s="181"/>
    </row>
    <row r="1686" spans="1:46" s="178" customFormat="1" x14ac:dyDescent="0.25">
      <c r="A1686" s="177"/>
      <c r="B1686" s="177"/>
      <c r="C1686" s="306"/>
      <c r="H1686" s="40"/>
      <c r="I1686" s="40"/>
      <c r="J1686" s="236" t="s">
        <v>1</v>
      </c>
      <c r="K1686" s="249"/>
      <c r="L1686" s="238">
        <f t="shared" ref="L1686:M1688" si="1550">L1658+L1663+L1668+L1673+L1681</f>
        <v>6151199.6399999997</v>
      </c>
      <c r="M1686" s="238">
        <f t="shared" si="1550"/>
        <v>6267774.6799999997</v>
      </c>
      <c r="N1686" s="238">
        <f t="shared" ref="N1686:U1686" si="1551">N1658+N1663+N1668+N1673+N1681</f>
        <v>6953601.5899999999</v>
      </c>
      <c r="O1686" s="238">
        <f t="shared" si="1551"/>
        <v>6300498.5</v>
      </c>
      <c r="P1686" s="238">
        <f>P1658+P1663+P1668+P1673+P1681</f>
        <v>7638988.5000000009</v>
      </c>
      <c r="Q1686" s="238">
        <f>Q1658+Q1663+Q1668+Q1673+Q1681</f>
        <v>7548519.540000001</v>
      </c>
      <c r="R1686" s="238">
        <f t="shared" si="1551"/>
        <v>6614904.9699999997</v>
      </c>
      <c r="S1686" s="238">
        <f t="shared" si="1551"/>
        <v>6529642.4499999993</v>
      </c>
      <c r="T1686" s="238">
        <f>T1658+T1663+T1668+T1673+T1681</f>
        <v>6515840.243999999</v>
      </c>
      <c r="U1686" s="238">
        <f t="shared" si="1551"/>
        <v>5825126.7699999996</v>
      </c>
      <c r="V1686" s="238">
        <f t="shared" ref="V1686:W1686" si="1552">V1658+V1663+V1668+V1673+V1681</f>
        <v>5815932.8399999999</v>
      </c>
      <c r="W1686" s="238">
        <f t="shared" si="1552"/>
        <v>5417349.4100000001</v>
      </c>
      <c r="X1686" s="238">
        <f>X1658+X1663+X1673+X1681</f>
        <v>6030232.8499999996</v>
      </c>
      <c r="Y1686" s="238">
        <f t="shared" ref="Y1686:AQ1686" si="1553">Y1658+Y1673+Y1681</f>
        <v>5557696.9699999997</v>
      </c>
      <c r="Z1686" s="238">
        <f>Z1658+Z1673+Z1681</f>
        <v>6590735.8300000001</v>
      </c>
      <c r="AA1686" s="238">
        <f t="shared" si="1553"/>
        <v>5996990.6400000006</v>
      </c>
      <c r="AB1686" s="238">
        <f t="shared" si="1553"/>
        <v>5251557.88</v>
      </c>
      <c r="AC1686" s="238">
        <f t="shared" si="1553"/>
        <v>4721996.6500000004</v>
      </c>
      <c r="AD1686" s="238">
        <f t="shared" si="1553"/>
        <v>4560912.59</v>
      </c>
      <c r="AE1686" s="238">
        <f t="shared" si="1553"/>
        <v>4255154.2799999993</v>
      </c>
      <c r="AF1686" s="238">
        <f t="shared" si="1553"/>
        <v>4081784.5700000003</v>
      </c>
      <c r="AG1686" s="238">
        <f t="shared" si="1553"/>
        <v>3530328.3200000003</v>
      </c>
      <c r="AH1686" s="238">
        <f t="shared" si="1553"/>
        <v>3479191.12</v>
      </c>
      <c r="AI1686" s="238">
        <f t="shared" si="1553"/>
        <v>3098381.65</v>
      </c>
      <c r="AJ1686" s="238">
        <f>AJ1658+AJ1673+AJ1681</f>
        <v>3092908.59</v>
      </c>
      <c r="AK1686" s="238">
        <f t="shared" si="1553"/>
        <v>3052778.62</v>
      </c>
      <c r="AL1686" s="238">
        <f>AL1658+AL1673+AL1681</f>
        <v>3008004.38</v>
      </c>
      <c r="AM1686" s="238">
        <f t="shared" si="1553"/>
        <v>2683591.5499999998</v>
      </c>
      <c r="AN1686" s="238">
        <f t="shared" si="1553"/>
        <v>2454549.75</v>
      </c>
      <c r="AO1686" s="238">
        <f t="shared" si="1553"/>
        <v>2450890.63</v>
      </c>
      <c r="AP1686" s="238">
        <f t="shared" si="1553"/>
        <v>2312620.8200000003</v>
      </c>
      <c r="AQ1686" s="238">
        <f t="shared" si="1553"/>
        <v>2174750.92</v>
      </c>
      <c r="AR1686" s="238">
        <f t="shared" ref="AR1686" si="1554">AR1658+AR1673+AR1681</f>
        <v>1301717.55</v>
      </c>
      <c r="AS1686" s="238">
        <f>AS1658+AS1673+AS1681</f>
        <v>739403.29</v>
      </c>
      <c r="AT1686" s="240" t="s">
        <v>11</v>
      </c>
    </row>
    <row r="1687" spans="1:46" s="178" customFormat="1" x14ac:dyDescent="0.25">
      <c r="A1687" s="177"/>
      <c r="B1687" s="177"/>
      <c r="C1687" s="306"/>
      <c r="H1687" s="40"/>
      <c r="I1687" s="40"/>
      <c r="J1687" s="236" t="s">
        <v>2</v>
      </c>
      <c r="K1687" s="249"/>
      <c r="L1687" s="238">
        <f t="shared" si="1550"/>
        <v>1830014.7</v>
      </c>
      <c r="M1687" s="238">
        <f t="shared" si="1550"/>
        <v>1833610.5499999998</v>
      </c>
      <c r="N1687" s="238">
        <f t="shared" ref="N1687:U1687" si="1555">N1659+N1664+N1669+N1674+N1682</f>
        <v>1688406.09</v>
      </c>
      <c r="O1687" s="238">
        <f>O1659+O1664+O1669+O1674+O1682</f>
        <v>1284400.27</v>
      </c>
      <c r="P1687" s="238">
        <f>P1659+P1664+P1669+P1674+P1682</f>
        <v>1343068.8</v>
      </c>
      <c r="Q1687" s="238">
        <f>Q1659+Q1664+Q1669+Q1674+Q1682</f>
        <v>1264707.96</v>
      </c>
      <c r="R1687" s="238">
        <f t="shared" si="1555"/>
        <v>1153331.2400000002</v>
      </c>
      <c r="S1687" s="238">
        <f t="shared" si="1555"/>
        <v>1247499.2799999998</v>
      </c>
      <c r="T1687" s="238">
        <f>T1659+T1664+T1669+T1674+T1682</f>
        <v>1292412.83</v>
      </c>
      <c r="U1687" s="238">
        <f t="shared" si="1555"/>
        <v>1098454</v>
      </c>
      <c r="V1687" s="238">
        <f t="shared" ref="V1687:W1687" si="1556">V1659+V1664+V1669+V1674+V1682</f>
        <v>1110027.75</v>
      </c>
      <c r="W1687" s="238">
        <f t="shared" si="1556"/>
        <v>918696.71</v>
      </c>
      <c r="X1687" s="238">
        <f>X1659+X1664+X1674+X1682</f>
        <v>1436329.91</v>
      </c>
      <c r="Y1687" s="238">
        <f t="shared" ref="Y1687:AQ1687" si="1557">Y1659+Y1674+Y1682</f>
        <v>1238337.53</v>
      </c>
      <c r="Z1687" s="238">
        <f t="shared" si="1557"/>
        <v>1749224.2400000002</v>
      </c>
      <c r="AA1687" s="238">
        <f t="shared" si="1557"/>
        <v>1527270.4899999998</v>
      </c>
      <c r="AB1687" s="238">
        <f t="shared" si="1557"/>
        <v>1325049.96</v>
      </c>
      <c r="AC1687" s="238">
        <f t="shared" si="1557"/>
        <v>1172146.52</v>
      </c>
      <c r="AD1687" s="238">
        <f t="shared" si="1557"/>
        <v>1029938.6699999999</v>
      </c>
      <c r="AE1687" s="238">
        <f t="shared" si="1557"/>
        <v>904322.25</v>
      </c>
      <c r="AF1687" s="238">
        <f t="shared" si="1557"/>
        <v>787593.75</v>
      </c>
      <c r="AG1687" s="238">
        <f t="shared" si="1557"/>
        <v>674551.25</v>
      </c>
      <c r="AH1687" s="238">
        <f t="shared" si="1557"/>
        <v>582618.75</v>
      </c>
      <c r="AI1687" s="238">
        <f t="shared" si="1557"/>
        <v>496318.75</v>
      </c>
      <c r="AJ1687" s="238">
        <f>AJ1659+AJ1674+AJ1682</f>
        <v>498737.62</v>
      </c>
      <c r="AK1687" s="238">
        <f t="shared" si="1557"/>
        <v>459119.74</v>
      </c>
      <c r="AL1687" s="238">
        <f>AL1659+AL1674+AL1682</f>
        <v>381650.55</v>
      </c>
      <c r="AM1687" s="238">
        <f t="shared" si="1557"/>
        <v>305729.3</v>
      </c>
      <c r="AN1687" s="238">
        <f>AN1659+AN1674+AN1682</f>
        <v>241428.27000000002</v>
      </c>
      <c r="AO1687" s="238">
        <f t="shared" si="1557"/>
        <v>182663.24</v>
      </c>
      <c r="AP1687" s="238">
        <f t="shared" si="1557"/>
        <v>127118.51000000001</v>
      </c>
      <c r="AQ1687" s="238">
        <f t="shared" si="1557"/>
        <v>73884.38</v>
      </c>
      <c r="AR1687" s="238">
        <f t="shared" ref="AR1687" si="1558">AR1659+AR1674+AR1682</f>
        <v>33262.5</v>
      </c>
      <c r="AS1687" s="238">
        <f>AS1659+AS1674+AS1682</f>
        <v>8531.26</v>
      </c>
      <c r="AT1687" s="240" t="s">
        <v>11</v>
      </c>
    </row>
    <row r="1688" spans="1:46" s="178" customFormat="1" ht="13.8" thickBot="1" x14ac:dyDescent="0.3">
      <c r="A1688" s="177"/>
      <c r="B1688" s="177"/>
      <c r="C1688" s="306"/>
      <c r="H1688" s="40"/>
      <c r="I1688" s="40"/>
      <c r="J1688" s="241" t="s">
        <v>386</v>
      </c>
      <c r="K1688" s="250"/>
      <c r="L1688" s="243">
        <f t="shared" si="1550"/>
        <v>15012.55</v>
      </c>
      <c r="M1688" s="243">
        <f t="shared" si="1550"/>
        <v>25966.57</v>
      </c>
      <c r="N1688" s="243">
        <f t="shared" ref="N1688:T1688" si="1559">N1660+N1665+N1670+N1675+N1683</f>
        <v>34154.9</v>
      </c>
      <c r="O1688" s="243">
        <f t="shared" si="1559"/>
        <v>33506.230000000003</v>
      </c>
      <c r="P1688" s="243">
        <f>P1660+P1665+P1670+P1675+P1683+P1677</f>
        <v>111991.05</v>
      </c>
      <c r="Q1688" s="243">
        <f>Q1660+Q1665+Q1670+Q1675+Q1683</f>
        <v>38058.58</v>
      </c>
      <c r="R1688" s="243">
        <f t="shared" si="1559"/>
        <v>43175.81</v>
      </c>
      <c r="S1688" s="243">
        <f t="shared" si="1559"/>
        <v>40646.340000000004</v>
      </c>
      <c r="T1688" s="243">
        <f t="shared" si="1559"/>
        <v>38058.25</v>
      </c>
      <c r="U1688" s="243">
        <f>U1660+U1675+U1683</f>
        <v>35576.590000000004</v>
      </c>
      <c r="V1688" s="243">
        <f>V1660+V1675+V1683</f>
        <v>33463.360000000001</v>
      </c>
      <c r="W1688" s="243">
        <f>W1660+W1675+W1683</f>
        <v>31600.489999999998</v>
      </c>
      <c r="X1688" s="243">
        <f>X1675</f>
        <v>29736.18</v>
      </c>
      <c r="Y1688" s="243">
        <f t="shared" ref="Y1688:AQ1688" si="1560">Y1675+Y1683</f>
        <v>27932.61</v>
      </c>
      <c r="Z1688" s="243">
        <f t="shared" si="1560"/>
        <v>35675.990000000005</v>
      </c>
      <c r="AA1688" s="243">
        <f t="shared" si="1560"/>
        <v>33937.47</v>
      </c>
      <c r="AB1688" s="243">
        <f t="shared" si="1560"/>
        <v>32007.77</v>
      </c>
      <c r="AC1688" s="243">
        <f t="shared" si="1560"/>
        <v>30138.1</v>
      </c>
      <c r="AD1688" s="243">
        <f t="shared" si="1560"/>
        <v>28287.68</v>
      </c>
      <c r="AE1688" s="243">
        <f t="shared" si="1560"/>
        <v>26416.089999999997</v>
      </c>
      <c r="AF1688" s="243">
        <f t="shared" si="1560"/>
        <v>24573.85</v>
      </c>
      <c r="AG1688" s="243">
        <f t="shared" si="1560"/>
        <v>22761.5</v>
      </c>
      <c r="AH1688" s="243">
        <f t="shared" si="1560"/>
        <v>20928.54</v>
      </c>
      <c r="AI1688" s="243">
        <f t="shared" si="1560"/>
        <v>19074.54</v>
      </c>
      <c r="AJ1688" s="243">
        <f>AJ1675+AJ1683</f>
        <v>17199.03</v>
      </c>
      <c r="AK1688" s="243">
        <f t="shared" si="1560"/>
        <v>15301.45</v>
      </c>
      <c r="AL1688" s="243">
        <f t="shared" si="1560"/>
        <v>13381.279999999999</v>
      </c>
      <c r="AM1688" s="243">
        <f t="shared" si="1560"/>
        <v>11437.99</v>
      </c>
      <c r="AN1688" s="243">
        <f t="shared" si="1560"/>
        <v>9471.02</v>
      </c>
      <c r="AO1688" s="243">
        <f t="shared" si="1560"/>
        <v>7479.82</v>
      </c>
      <c r="AP1688" s="243">
        <f t="shared" si="1560"/>
        <v>5463.8099999999995</v>
      </c>
      <c r="AQ1688" s="243">
        <f t="shared" si="1560"/>
        <v>3422.42</v>
      </c>
      <c r="AR1688" s="243">
        <f t="shared" ref="AR1688:AS1688" si="1561">AR1675+AR1683</f>
        <v>1869.18</v>
      </c>
      <c r="AS1688" s="243">
        <f t="shared" si="1561"/>
        <v>816.62</v>
      </c>
      <c r="AT1688" s="245" t="s">
        <v>11</v>
      </c>
    </row>
    <row r="1689" spans="1:46" s="227" customFormat="1" ht="13.8" thickBot="1" x14ac:dyDescent="0.3">
      <c r="A1689" s="226"/>
      <c r="B1689" s="226"/>
      <c r="C1689" s="311"/>
      <c r="H1689" s="228"/>
      <c r="I1689" s="278" t="s">
        <v>436</v>
      </c>
      <c r="J1689" s="229" t="s">
        <v>5</v>
      </c>
      <c r="K1689" s="251"/>
      <c r="L1689" s="231">
        <f>L1686+L1687+L1688</f>
        <v>7996226.8899999997</v>
      </c>
      <c r="M1689" s="231">
        <f>M1686+M1687+M1688</f>
        <v>8127351.7999999998</v>
      </c>
      <c r="N1689" s="231">
        <f>N1686+N1687+N1688+N1678</f>
        <v>8676162.5800000001</v>
      </c>
      <c r="O1689" s="231">
        <f>O1686+O1687+O1688+O1678+O1677</f>
        <v>7641905</v>
      </c>
      <c r="P1689" s="231">
        <f>P1686+P1687+P1688</f>
        <v>9094048.3500000015</v>
      </c>
      <c r="Q1689" s="231">
        <f t="shared" ref="Q1689:X1689" si="1562">Q1686+Q1687+Q1688</f>
        <v>8851286.0800000001</v>
      </c>
      <c r="R1689" s="231">
        <f t="shared" si="1562"/>
        <v>7811412.0199999996</v>
      </c>
      <c r="S1689" s="231">
        <f t="shared" si="1562"/>
        <v>7817788.0699999984</v>
      </c>
      <c r="T1689" s="231">
        <f t="shared" si="1562"/>
        <v>7846311.3239999991</v>
      </c>
      <c r="U1689" s="231">
        <f t="shared" si="1562"/>
        <v>6959157.3599999994</v>
      </c>
      <c r="V1689" s="231">
        <f t="shared" ref="V1689" si="1563">V1686+V1687+V1688</f>
        <v>6959423.9500000002</v>
      </c>
      <c r="W1689" s="231">
        <f>W1686+W1687+W1688</f>
        <v>6367646.6100000003</v>
      </c>
      <c r="X1689" s="231">
        <f t="shared" si="1562"/>
        <v>7496298.9399999995</v>
      </c>
      <c r="Y1689" s="231">
        <f t="shared" ref="Y1689" si="1564">Y1686+Y1687+Y1688</f>
        <v>6823967.1100000003</v>
      </c>
      <c r="Z1689" s="231">
        <f t="shared" ref="Z1689" si="1565">Z1686+Z1687+Z1688</f>
        <v>8375636.0600000005</v>
      </c>
      <c r="AA1689" s="231">
        <f t="shared" ref="AA1689" si="1566">AA1686+AA1687+AA1688</f>
        <v>7558198.6000000006</v>
      </c>
      <c r="AB1689" s="231">
        <f>AB1686+AB1687+AB1688</f>
        <v>6608615.6099999994</v>
      </c>
      <c r="AC1689" s="231">
        <f>AC1686+AC1687+AC1688</f>
        <v>5924281.2699999996</v>
      </c>
      <c r="AD1689" s="231">
        <f>AD1686+AD1687+AD1688</f>
        <v>5619138.9399999995</v>
      </c>
      <c r="AE1689" s="231">
        <f t="shared" ref="AE1689" si="1567">AE1686+AE1687+AE1688</f>
        <v>5185892.6199999992</v>
      </c>
      <c r="AF1689" s="231">
        <f t="shared" ref="AF1689" si="1568">AF1686+AF1687+AF1688</f>
        <v>4893952.17</v>
      </c>
      <c r="AG1689" s="231">
        <f t="shared" ref="AG1689" si="1569">AG1686+AG1687+AG1688</f>
        <v>4227641.07</v>
      </c>
      <c r="AH1689" s="231">
        <f t="shared" ref="AH1689" si="1570">AH1686+AH1687+AH1688</f>
        <v>4082738.41</v>
      </c>
      <c r="AI1689" s="231">
        <f t="shared" ref="AI1689" si="1571">AI1686+AI1687+AI1688</f>
        <v>3613774.94</v>
      </c>
      <c r="AJ1689" s="231">
        <f t="shared" ref="AJ1689:AK1689" si="1572">AJ1686+AJ1687+AJ1688</f>
        <v>3608845.2399999998</v>
      </c>
      <c r="AK1689" s="231">
        <f t="shared" si="1572"/>
        <v>3527199.8100000005</v>
      </c>
      <c r="AL1689" s="231">
        <f t="shared" ref="AL1689" si="1573">AL1686+AL1687+AL1688</f>
        <v>3403036.2099999995</v>
      </c>
      <c r="AM1689" s="231">
        <f t="shared" ref="AM1689:AN1689" si="1574">AM1686+AM1687+AM1688</f>
        <v>3000758.84</v>
      </c>
      <c r="AN1689" s="231">
        <f t="shared" si="1574"/>
        <v>2705449.04</v>
      </c>
      <c r="AO1689" s="231">
        <f t="shared" ref="AO1689:AP1689" si="1575">AO1686+AO1687+AO1688</f>
        <v>2641033.69</v>
      </c>
      <c r="AP1689" s="231">
        <f t="shared" si="1575"/>
        <v>2445203.14</v>
      </c>
      <c r="AQ1689" s="231">
        <f t="shared" ref="AQ1689:AR1689" si="1576">AQ1686+AQ1687+AQ1688</f>
        <v>2252057.7199999997</v>
      </c>
      <c r="AR1689" s="231">
        <f t="shared" si="1576"/>
        <v>1336849.23</v>
      </c>
      <c r="AS1689" s="231">
        <f t="shared" ref="AS1689" si="1577">AS1686+AS1687+AS1688</f>
        <v>748751.17</v>
      </c>
      <c r="AT1689" s="233" t="s">
        <v>11</v>
      </c>
    </row>
    <row r="1690" spans="1:46" s="222" customFormat="1" ht="14.4" thickTop="1" thickBot="1" x14ac:dyDescent="0.3">
      <c r="A1690" s="221"/>
      <c r="B1690" s="221"/>
      <c r="C1690" s="312"/>
      <c r="I1690" s="246"/>
      <c r="J1690" s="246"/>
      <c r="K1690" s="290"/>
      <c r="L1690" s="247"/>
      <c r="M1690" s="247"/>
      <c r="N1690" s="301"/>
      <c r="O1690" s="301"/>
      <c r="P1690" s="301"/>
      <c r="Q1690" s="301"/>
      <c r="R1690" s="378"/>
      <c r="S1690" s="378"/>
      <c r="T1690" s="378"/>
      <c r="U1690" s="225"/>
      <c r="V1690" s="225"/>
      <c r="W1690" s="225"/>
      <c r="X1690" s="225"/>
      <c r="Y1690" s="225"/>
      <c r="Z1690" s="524"/>
      <c r="AA1690" s="568"/>
      <c r="AB1690" s="225"/>
      <c r="AC1690" s="225"/>
      <c r="AD1690" s="225"/>
      <c r="AE1690" s="225"/>
      <c r="AF1690" s="225"/>
      <c r="AG1690" s="225"/>
      <c r="AH1690" s="225"/>
      <c r="AI1690" s="225"/>
      <c r="AJ1690" s="225"/>
      <c r="AK1690" s="225"/>
      <c r="AL1690" s="225"/>
      <c r="AM1690" s="225"/>
      <c r="AN1690" s="225"/>
      <c r="AO1690" s="225"/>
      <c r="AP1690" s="225"/>
      <c r="AQ1690" s="225"/>
      <c r="AR1690" s="225"/>
      <c r="AS1690" s="225"/>
      <c r="AT1690" s="225"/>
    </row>
    <row r="1691" spans="1:46" s="178" customFormat="1" ht="14.4" thickTop="1" thickBot="1" x14ac:dyDescent="0.3">
      <c r="A1691" s="177"/>
      <c r="B1691" s="177"/>
      <c r="C1691" s="306"/>
      <c r="H1691" s="179"/>
      <c r="I1691" s="179"/>
      <c r="J1691" s="179" t="s">
        <v>32</v>
      </c>
      <c r="K1691" s="289" t="s">
        <v>1</v>
      </c>
      <c r="L1691" s="181">
        <f t="shared" ref="L1691:N1692" si="1578">L15+L70+L161+L213+L307+L368+L432+L523+L632+L705+L826</f>
        <v>3924585</v>
      </c>
      <c r="M1691" s="181">
        <f t="shared" si="1578"/>
        <v>4041336</v>
      </c>
      <c r="N1691" s="356">
        <f t="shared" si="1578"/>
        <v>4414236</v>
      </c>
      <c r="O1691" s="356">
        <f>O15+O70+O213+O307+O368+O432+O523+O632+O705+O826+O1008</f>
        <v>3789000</v>
      </c>
      <c r="P1691" s="356">
        <f>P15+P70+P213+P307+P368+P432+P523+P632+P705+P826+P929+P1008</f>
        <v>4361986</v>
      </c>
      <c r="Q1691" s="356">
        <f>Q15+Q70+Q213+Q368+Q432+Q523+Q632+Q705+Q826+Q929+Q1008+Q1075</f>
        <v>4194407</v>
      </c>
      <c r="R1691" s="356">
        <f>R15+R70+R213+R432+R523+R632+R705+R826+R929+R1008+R1075+R1127</f>
        <v>3218000</v>
      </c>
      <c r="S1691" s="356">
        <f>S15+S70+S213+S432+S523+S632+S705+S826+S929+S1008+S1075+S1127+S1182</f>
        <v>3235000</v>
      </c>
      <c r="T1691" s="356">
        <f>T15+T70+T432+T523+T632+T705+T826+T929+T1008+T1075+T1127+T1182+T1246</f>
        <v>3260000</v>
      </c>
      <c r="U1691" s="181">
        <f>U70+U432+U523+U632+U705+U826+U929+U1008+U1075+U1127+U1182+U1246</f>
        <v>2870000</v>
      </c>
      <c r="V1691" s="181">
        <f>V70+V432+V523+V632+V705+V826+V929+V1008+V1075+V1127+V1182+V1246+V1295</f>
        <v>3010000</v>
      </c>
      <c r="W1691" s="181">
        <f>W70+W432+W523+W632+W826+W929+W1008+W1075+W1127+W1182+W1246+W1295+W1399</f>
        <v>2630000</v>
      </c>
      <c r="X1691" s="181">
        <f>X432+X523+X632+X826+X929+X1008+X1075+X1127+X1182+X1246+X1295+X1353+X1399</f>
        <v>2935000</v>
      </c>
      <c r="Y1691" s="181">
        <f>Y432+Y523+Y632+Y826+Y929+Y1008+Y1075+Y1127+Y1182+Y1246+Y1295+Y1353+Y1399+Y1488</f>
        <v>2620000</v>
      </c>
      <c r="Z1691" s="519">
        <f>Z432+Z523+Z632+Z826+Z929+Z1008+Z1075+Z1127+Z1182+Z1246+Z1295+Z1353+Z1399+Z1439+Z1488</f>
        <v>2940000</v>
      </c>
      <c r="AA1691" s="562">
        <f>AA432+AA523+AA826+AA929+AA1008+AA1075+AA1127+AA1182+AA1246+AA1295+AA1353+AA1399+AA1439+AA1488</f>
        <v>2720000</v>
      </c>
      <c r="AB1691" s="181">
        <f>AB523+AB826+AB929+AB1008+AB1075+AB1127+AB1182+AB1246+AB1295+AB1353+AB1399+AB1439+AB1488</f>
        <v>2210000</v>
      </c>
      <c r="AC1691" s="181">
        <f>AC929+AC1008+AC1075+AC1127+AC1182+AC1246+AC1295+AC1353+AC1399+AC1439+AC1488</f>
        <v>1910000</v>
      </c>
      <c r="AD1691" s="181">
        <f>AD929+AD1008+AD1075+AD1127+AD1182+AD1246+AD1295+AD1353+AD1399+AD1439+AD1488</f>
        <v>1855000</v>
      </c>
      <c r="AE1691" s="181">
        <f>AE929+AE1075+AE1127+AE1182+AE1246+AE1295+AE1353+AE1399+AE1439+AE1488</f>
        <v>1765000</v>
      </c>
      <c r="AF1691" s="181">
        <f>AF929+AF1127+AF1182+AF1246+AF1295+AF1353+AF1399+AF1439+AF1488</f>
        <v>1685000</v>
      </c>
      <c r="AG1691" s="181">
        <f>AG929+AG1182+AG1246+AG1295+AG1353+AG1399+AG1439+AG1488</f>
        <v>1325000</v>
      </c>
      <c r="AH1691" s="181">
        <f>AH929+AH1182+AH1246+AH1295+AH1353+AH1399+AH1439+AH1488</f>
        <v>1260000</v>
      </c>
      <c r="AI1691" s="181">
        <f t="shared" ref="AI1691:AL1692" si="1579">AI1182+AI1295+AI1353+AI1399+AI1439+AI1488</f>
        <v>925000</v>
      </c>
      <c r="AJ1691" s="181">
        <f t="shared" si="1579"/>
        <v>920000</v>
      </c>
      <c r="AK1691" s="181">
        <f t="shared" si="1579"/>
        <v>865000</v>
      </c>
      <c r="AL1691" s="181">
        <f t="shared" si="1579"/>
        <v>860000</v>
      </c>
      <c r="AM1691" s="181">
        <f t="shared" ref="AM1691:AO1692" si="1580">AM1295+AM1353+AM1399+AM1439+AM1488</f>
        <v>665000</v>
      </c>
      <c r="AN1691" s="181">
        <f t="shared" si="1580"/>
        <v>565000</v>
      </c>
      <c r="AO1691" s="181">
        <f t="shared" si="1580"/>
        <v>545000</v>
      </c>
      <c r="AP1691" s="181">
        <f>AP1353+AP1399+AP1439+AP1488</f>
        <v>465000</v>
      </c>
      <c r="AQ1691" s="181">
        <f>AQ1399+AQ1439+AQ1488</f>
        <v>435000</v>
      </c>
      <c r="AR1691" s="181">
        <f>AR1439+AR1488</f>
        <v>330000</v>
      </c>
      <c r="AS1691" s="181">
        <f>AS1488</f>
        <v>70000</v>
      </c>
      <c r="AT1691" s="178" t="s">
        <v>11</v>
      </c>
    </row>
    <row r="1692" spans="1:46" s="178" customFormat="1" ht="13.8" thickBot="1" x14ac:dyDescent="0.3">
      <c r="A1692" s="177"/>
      <c r="B1692" s="177"/>
      <c r="C1692" s="306"/>
      <c r="H1692" s="156" t="s">
        <v>542</v>
      </c>
      <c r="I1692" s="156"/>
      <c r="J1692" s="156"/>
      <c r="K1692" s="289" t="s">
        <v>2</v>
      </c>
      <c r="L1692" s="181">
        <f t="shared" si="1578"/>
        <v>983728.55999999994</v>
      </c>
      <c r="M1692" s="181">
        <f t="shared" si="1578"/>
        <v>852542.34</v>
      </c>
      <c r="N1692" s="357">
        <f t="shared" si="1578"/>
        <v>807969.74</v>
      </c>
      <c r="O1692" s="357">
        <f>O16+O71+O214+O308+O369+O433+O524+O633+O706+O827+O1009</f>
        <v>654823.12</v>
      </c>
      <c r="P1692" s="357">
        <f>P16+P71+P214+P308+P369+P433+P524+P633+P706+P827+P930+P1009</f>
        <v>702439.72</v>
      </c>
      <c r="Q1692" s="357">
        <f>Q16+Q71+Q214+Q369+Q433+Q524+Q633+Q706+Q827+Q930+Q1009+Q1076</f>
        <v>640219.63</v>
      </c>
      <c r="R1692" s="357">
        <f>R16+R71+R214+R433+R524+R633+R706+R827+R930+R1009+R1076+R1128</f>
        <v>596720.81000000006</v>
      </c>
      <c r="S1692" s="357">
        <f>S16+S71+S214+S433+S524+S633+S706+S827+S930+S1009+S1076+S1128+S1183</f>
        <v>658730.36</v>
      </c>
      <c r="T1692" s="357">
        <f>T16+T71+T433+T524+T633+T706+T827+T930+T1009+T1076+T1128+T1183+T1247</f>
        <v>701915.83000000007</v>
      </c>
      <c r="U1692" s="181">
        <f>U71+U433+U524+U633+U706+U827+U930+U1009+U1076+U1128+U1183+U1247</f>
        <v>581755</v>
      </c>
      <c r="V1692" s="181">
        <f>V71+V433+V524+V633+V706+V827+V930+V1009+V1076+V1128+V1183+V1247+V1296</f>
        <v>601652.5</v>
      </c>
      <c r="W1692" s="181">
        <f>W71+W433+W524+W633+W827+W930+W1009+W1076+W1128+W1183+W1247+W1296+W1400</f>
        <v>485337.5</v>
      </c>
      <c r="X1692" s="181">
        <f>X433+X524+X633+X827+X930+X1009+X1076+X1128+X1183+X1247+X1296+X1354+X1400</f>
        <v>822559.8</v>
      </c>
      <c r="Y1692" s="181">
        <f>Y433+Y524+Y633+Y827+Y930+Y1009+Y1076+Y1128+Y1183+Y1247+Y1296+Y1354+Y1400+Y1489</f>
        <v>704971.87</v>
      </c>
      <c r="Z1692" s="519">
        <f>Z433+Z524+Z633+Z827+Z930+Z1009+Z1076+Z1128+Z1183+Z1247+Z1296+Z1354+Z1400+Z1440+Z1489</f>
        <v>971407.29</v>
      </c>
      <c r="AA1692" s="562">
        <f>AA433+AA524+AA827+AA930+AA1009+AA1076+AA1128+AA1183+AA1247+AA1296+AA1354+AA1400+AA1440+AA1489</f>
        <v>843348.75</v>
      </c>
      <c r="AB1692" s="181">
        <f>AB524+AB827+AB930+AB1009+AB1076+AB1128+AB1183+AB1247+AB1296+AB1354+AB1400+AB1440+AB1489</f>
        <v>725045</v>
      </c>
      <c r="AC1692" s="181">
        <f>AC930+AC1009+AC1076+AC1128+AC1183+AC1247+AC1296+AC1354+AC1400+AC1440+AC1489</f>
        <v>641392.5</v>
      </c>
      <c r="AD1692" s="181">
        <f>AD930+AD1009+AD1076+AD1128+AD1183+AD1247+AD1296+AD1354+AD1400+AD1440+AD1489</f>
        <v>563832.5</v>
      </c>
      <c r="AE1692" s="181">
        <f>AE930+AE1076+AE1128+AE1183+AE1247+AE1296+AE1354+AE1400+AE1440+AE1489</f>
        <v>493502.5</v>
      </c>
      <c r="AF1692" s="181">
        <f>AF930+AF1128+AF1183+AF1247+AF1296+AF1354+AF1400+AF1440+AF1489</f>
        <v>424157.5</v>
      </c>
      <c r="AG1692" s="181">
        <f>AG930+AG1183+AG1247+AG1296+AG1354+AG1400+AG1440+AG1489</f>
        <v>356882.5</v>
      </c>
      <c r="AH1692" s="181">
        <f>AH930+AH1183+AH1247+AH1296+AH1354+AH1400+AH1440+AH1489</f>
        <v>303317.5</v>
      </c>
      <c r="AI1692" s="181">
        <f t="shared" si="1579"/>
        <v>254400</v>
      </c>
      <c r="AJ1692" s="181">
        <f t="shared" si="1579"/>
        <v>219137.5</v>
      </c>
      <c r="AK1692" s="181">
        <f t="shared" si="1579"/>
        <v>185625</v>
      </c>
      <c r="AL1692" s="181">
        <f t="shared" si="1579"/>
        <v>153212.5</v>
      </c>
      <c r="AM1692" s="181">
        <f t="shared" si="1580"/>
        <v>121000</v>
      </c>
      <c r="AN1692" s="181">
        <f t="shared" si="1580"/>
        <v>96218.75</v>
      </c>
      <c r="AO1692" s="181">
        <f t="shared" si="1580"/>
        <v>72637.5</v>
      </c>
      <c r="AP1692" s="181">
        <f>AP1354+AP1400+AP1440+AP1489</f>
        <v>52656.25</v>
      </c>
      <c r="AQ1692" s="181">
        <f>AQ1400+AQ1440+AQ1489</f>
        <v>34100</v>
      </c>
      <c r="AR1692" s="181">
        <f>AR1440+AR1489</f>
        <v>16525</v>
      </c>
      <c r="AS1692" s="181">
        <f>AS1489</f>
        <v>3062.5</v>
      </c>
      <c r="AT1692" s="178" t="s">
        <v>11</v>
      </c>
    </row>
    <row r="1693" spans="1:46" s="178" customFormat="1" ht="13.8" thickBot="1" x14ac:dyDescent="0.3">
      <c r="A1693" s="177"/>
      <c r="B1693" s="177"/>
      <c r="C1693" s="306"/>
      <c r="H1693" s="259"/>
      <c r="I1693" s="259"/>
      <c r="J1693" s="260" t="s">
        <v>415</v>
      </c>
      <c r="K1693" s="180" t="s">
        <v>6</v>
      </c>
      <c r="L1693" s="255">
        <f t="shared" ref="L1693:O1693" si="1581">L1692+L1691</f>
        <v>4908313.5599999996</v>
      </c>
      <c r="M1693" s="255">
        <f t="shared" si="1581"/>
        <v>4893878.34</v>
      </c>
      <c r="N1693" s="181">
        <f t="shared" si="1581"/>
        <v>5222205.74</v>
      </c>
      <c r="O1693" s="255">
        <f t="shared" si="1581"/>
        <v>4443823.12</v>
      </c>
      <c r="P1693" s="181">
        <f t="shared" ref="P1693:U1693" si="1582">P1692+P1691</f>
        <v>5064425.72</v>
      </c>
      <c r="Q1693" s="181">
        <f t="shared" si="1582"/>
        <v>4834626.63</v>
      </c>
      <c r="R1693" s="181">
        <f t="shared" si="1582"/>
        <v>3814720.81</v>
      </c>
      <c r="S1693" s="181">
        <f t="shared" si="1582"/>
        <v>3893730.36</v>
      </c>
      <c r="T1693" s="255">
        <f t="shared" si="1582"/>
        <v>3961915.83</v>
      </c>
      <c r="U1693" s="255">
        <f t="shared" si="1582"/>
        <v>3451755</v>
      </c>
      <c r="V1693" s="255">
        <f t="shared" ref="V1693:W1693" si="1583">V1692+V1691</f>
        <v>3611652.5</v>
      </c>
      <c r="W1693" s="255">
        <f t="shared" si="1583"/>
        <v>3115337.5</v>
      </c>
      <c r="X1693" s="255">
        <f t="shared" ref="X1693:AA1693" si="1584">X1692+X1691</f>
        <v>3757559.8</v>
      </c>
      <c r="Y1693" s="255">
        <f t="shared" si="1584"/>
        <v>3324971.87</v>
      </c>
      <c r="Z1693" s="526">
        <f t="shared" si="1584"/>
        <v>3911407.29</v>
      </c>
      <c r="AA1693" s="570">
        <f t="shared" si="1584"/>
        <v>3563348.75</v>
      </c>
      <c r="AB1693" s="255">
        <f t="shared" ref="AB1693:AD1693" si="1585">AB1692+AB1691</f>
        <v>2935045</v>
      </c>
      <c r="AC1693" s="255">
        <f t="shared" ref="AC1693" si="1586">AC1692+AC1691</f>
        <v>2551392.5</v>
      </c>
      <c r="AD1693" s="255">
        <f t="shared" si="1585"/>
        <v>2418832.5</v>
      </c>
      <c r="AE1693" s="255">
        <f t="shared" ref="AE1693:AF1693" si="1587">AE1692+AE1691</f>
        <v>2258502.5</v>
      </c>
      <c r="AF1693" s="255">
        <f t="shared" si="1587"/>
        <v>2109157.5</v>
      </c>
      <c r="AG1693" s="255">
        <f t="shared" ref="AG1693:AI1693" si="1588">AG1692+AG1691</f>
        <v>1681882.5</v>
      </c>
      <c r="AH1693" s="255">
        <f t="shared" si="1588"/>
        <v>1563317.5</v>
      </c>
      <c r="AI1693" s="255">
        <f t="shared" si="1588"/>
        <v>1179400</v>
      </c>
      <c r="AJ1693" s="255">
        <f t="shared" ref="AJ1693:AL1693" si="1589">AJ1692+AJ1691</f>
        <v>1139137.5</v>
      </c>
      <c r="AK1693" s="255">
        <f t="shared" si="1589"/>
        <v>1050625</v>
      </c>
      <c r="AL1693" s="255">
        <f t="shared" si="1589"/>
        <v>1013212.5</v>
      </c>
      <c r="AM1693" s="255">
        <f t="shared" ref="AM1693:AO1693" si="1590">AM1692+AM1691</f>
        <v>786000</v>
      </c>
      <c r="AN1693" s="255">
        <f t="shared" si="1590"/>
        <v>661218.75</v>
      </c>
      <c r="AO1693" s="255">
        <f t="shared" si="1590"/>
        <v>617637.5</v>
      </c>
      <c r="AP1693" s="255">
        <f t="shared" ref="AP1693:AQ1693" si="1591">AP1692+AP1691</f>
        <v>517656.25</v>
      </c>
      <c r="AQ1693" s="255">
        <f t="shared" si="1591"/>
        <v>469100</v>
      </c>
      <c r="AR1693" s="255">
        <f t="shared" ref="AR1693:AS1693" si="1592">AR1692+AR1691</f>
        <v>346525</v>
      </c>
      <c r="AS1693" s="255">
        <f t="shared" si="1592"/>
        <v>73062.5</v>
      </c>
      <c r="AT1693" s="256" t="s">
        <v>11</v>
      </c>
    </row>
    <row r="1694" spans="1:46" s="178" customFormat="1" ht="13.8" thickBot="1" x14ac:dyDescent="0.3">
      <c r="A1694" s="177"/>
      <c r="B1694" s="177"/>
      <c r="C1694" s="306"/>
      <c r="H1694" s="179"/>
      <c r="I1694" s="179"/>
      <c r="J1694" s="179"/>
      <c r="K1694" s="289" t="s">
        <v>1</v>
      </c>
      <c r="L1694" s="181">
        <f t="shared" ref="L1694:N1696" si="1593">L1526+L1541</f>
        <v>63651.979999999996</v>
      </c>
      <c r="M1694" s="181">
        <f t="shared" si="1593"/>
        <v>63384.850000000006</v>
      </c>
      <c r="N1694" s="358">
        <f t="shared" si="1593"/>
        <v>68944.11</v>
      </c>
      <c r="O1694" s="181">
        <f>O1526+O1541+O1606+O1611</f>
        <v>68172.42</v>
      </c>
      <c r="P1694" s="358">
        <f t="shared" ref="P1694:T1696" si="1594">P1541+P1606+P1611</f>
        <v>29004.329999999998</v>
      </c>
      <c r="Q1694" s="358">
        <f t="shared" si="1594"/>
        <v>33424.479999999996</v>
      </c>
      <c r="R1694" s="358">
        <f t="shared" si="1594"/>
        <v>33246.229999999996</v>
      </c>
      <c r="S1694" s="358">
        <f t="shared" si="1594"/>
        <v>33284.189999999995</v>
      </c>
      <c r="T1694" s="358">
        <f t="shared" si="1594"/>
        <v>32242.149999999998</v>
      </c>
      <c r="U1694" s="181">
        <f>U1541</f>
        <v>25146.76</v>
      </c>
      <c r="V1694" s="181">
        <f>V1541</f>
        <v>30064.18</v>
      </c>
      <c r="W1694" s="181">
        <f>W1541</f>
        <v>29496.21</v>
      </c>
      <c r="X1694" s="178" t="s">
        <v>11</v>
      </c>
      <c r="Y1694" s="181"/>
      <c r="Z1694" s="519"/>
      <c r="AA1694" s="562"/>
      <c r="AB1694" s="181"/>
      <c r="AC1694" s="181"/>
      <c r="AD1694" s="181"/>
      <c r="AE1694" s="181"/>
      <c r="AF1694" s="181"/>
      <c r="AG1694" s="181"/>
      <c r="AH1694" s="181"/>
      <c r="AI1694" s="181"/>
      <c r="AJ1694" s="181"/>
      <c r="AK1694" s="181"/>
      <c r="AL1694" s="181"/>
      <c r="AM1694" s="181"/>
      <c r="AN1694" s="181"/>
      <c r="AO1694" s="181"/>
      <c r="AP1694" s="181"/>
      <c r="AQ1694" s="181"/>
      <c r="AR1694" s="181"/>
      <c r="AS1694" s="181"/>
      <c r="AT1694" s="181"/>
    </row>
    <row r="1695" spans="1:46" s="178" customFormat="1" ht="13.8" thickBot="1" x14ac:dyDescent="0.3">
      <c r="A1695" s="177"/>
      <c r="B1695" s="177"/>
      <c r="C1695" s="306"/>
      <c r="H1695" s="156"/>
      <c r="I1695" s="156"/>
      <c r="J1695" s="156"/>
      <c r="K1695" s="289" t="s">
        <v>2</v>
      </c>
      <c r="L1695" s="181">
        <f t="shared" si="1593"/>
        <v>17109.86</v>
      </c>
      <c r="M1695" s="181">
        <f t="shared" si="1593"/>
        <v>14848.93</v>
      </c>
      <c r="N1695" s="181">
        <f t="shared" si="1593"/>
        <v>13039.36</v>
      </c>
      <c r="O1695" s="181">
        <f>O1527+O1542+O1607+O1612</f>
        <v>10949.5</v>
      </c>
      <c r="P1695" s="181">
        <f t="shared" si="1594"/>
        <v>3216.53</v>
      </c>
      <c r="Q1695" s="181">
        <f t="shared" si="1594"/>
        <v>2742.86</v>
      </c>
      <c r="R1695" s="181">
        <f t="shared" si="1594"/>
        <v>2255.15</v>
      </c>
      <c r="S1695" s="181">
        <f t="shared" si="1594"/>
        <v>1767.33</v>
      </c>
      <c r="T1695" s="181">
        <f t="shared" si="1594"/>
        <v>1295.0899999999999</v>
      </c>
      <c r="U1695" s="181">
        <f>U1542</f>
        <v>808.76</v>
      </c>
      <c r="V1695" s="181">
        <f>V1542</f>
        <v>240.79</v>
      </c>
      <c r="W1695" s="181">
        <v>0</v>
      </c>
      <c r="X1695" s="178" t="s">
        <v>11</v>
      </c>
      <c r="Y1695" s="181"/>
      <c r="Z1695" s="519"/>
      <c r="AA1695" s="562"/>
      <c r="AB1695" s="181"/>
      <c r="AC1695" s="181"/>
      <c r="AD1695" s="181"/>
      <c r="AE1695" s="181"/>
      <c r="AF1695" s="181"/>
      <c r="AG1695" s="181"/>
      <c r="AH1695" s="181"/>
      <c r="AI1695" s="181"/>
      <c r="AJ1695" s="181"/>
      <c r="AK1695" s="181"/>
      <c r="AL1695" s="181"/>
      <c r="AM1695" s="181"/>
      <c r="AN1695" s="181"/>
      <c r="AO1695" s="181"/>
      <c r="AP1695" s="181"/>
      <c r="AQ1695" s="181"/>
      <c r="AR1695" s="181"/>
      <c r="AS1695" s="181"/>
      <c r="AT1695" s="181"/>
    </row>
    <row r="1696" spans="1:46" s="178" customFormat="1" ht="13.8" thickBot="1" x14ac:dyDescent="0.3">
      <c r="A1696" s="177"/>
      <c r="B1696" s="177"/>
      <c r="C1696" s="306"/>
      <c r="H1696" s="156"/>
      <c r="I1696" s="156"/>
      <c r="J1696" s="156"/>
      <c r="K1696" s="289" t="s">
        <v>386</v>
      </c>
      <c r="L1696" s="181">
        <f t="shared" si="1593"/>
        <v>1585.88</v>
      </c>
      <c r="M1696" s="181">
        <f t="shared" si="1593"/>
        <v>1453.8400000000001</v>
      </c>
      <c r="N1696" s="357">
        <f t="shared" si="1593"/>
        <v>1273.7199999999998</v>
      </c>
      <c r="O1696" s="357">
        <f>O1528+O1543+O1608+O1613</f>
        <v>1173.75</v>
      </c>
      <c r="P1696" s="357">
        <f t="shared" si="1594"/>
        <v>405</v>
      </c>
      <c r="Q1696" s="357">
        <f t="shared" si="1594"/>
        <v>356.25</v>
      </c>
      <c r="R1696" s="357">
        <f t="shared" si="1594"/>
        <v>303.75</v>
      </c>
      <c r="S1696" s="357">
        <f t="shared" si="1594"/>
        <v>251.25</v>
      </c>
      <c r="T1696" s="357">
        <f t="shared" si="1594"/>
        <v>198.75</v>
      </c>
      <c r="U1696" s="181">
        <f>U1543</f>
        <v>146.25</v>
      </c>
      <c r="V1696" s="181">
        <f>V1543</f>
        <v>90</v>
      </c>
      <c r="W1696" s="181">
        <f>W1543</f>
        <v>30</v>
      </c>
      <c r="X1696" s="178" t="s">
        <v>11</v>
      </c>
      <c r="Y1696" s="181"/>
      <c r="Z1696" s="519"/>
      <c r="AA1696" s="562"/>
      <c r="AB1696" s="181"/>
      <c r="AC1696" s="181"/>
      <c r="AD1696" s="181"/>
      <c r="AE1696" s="181"/>
      <c r="AF1696" s="181"/>
      <c r="AG1696" s="181"/>
      <c r="AH1696" s="181"/>
      <c r="AI1696" s="181"/>
      <c r="AJ1696" s="181"/>
      <c r="AK1696" s="181"/>
      <c r="AL1696" s="181"/>
      <c r="AM1696" s="181"/>
      <c r="AN1696" s="181"/>
      <c r="AO1696" s="181"/>
      <c r="AP1696" s="181"/>
      <c r="AQ1696" s="181"/>
      <c r="AR1696" s="181"/>
      <c r="AS1696" s="181"/>
      <c r="AT1696" s="181"/>
    </row>
    <row r="1697" spans="1:46" s="178" customFormat="1" ht="13.8" thickBot="1" x14ac:dyDescent="0.3">
      <c r="A1697" s="177"/>
      <c r="B1697" s="177"/>
      <c r="C1697" s="306"/>
      <c r="H1697" s="259"/>
      <c r="I1697" s="259"/>
      <c r="J1697" s="260" t="s">
        <v>716</v>
      </c>
      <c r="K1697" s="180" t="s">
        <v>6</v>
      </c>
      <c r="L1697" s="255">
        <f t="shared" ref="L1697:O1697" si="1595">L1696+L1695+L1694</f>
        <v>82347.72</v>
      </c>
      <c r="M1697" s="255">
        <f t="shared" si="1595"/>
        <v>79687.62000000001</v>
      </c>
      <c r="N1697" s="181">
        <f t="shared" si="1595"/>
        <v>83257.19</v>
      </c>
      <c r="O1697" s="255">
        <f t="shared" si="1595"/>
        <v>80295.67</v>
      </c>
      <c r="P1697" s="181">
        <f t="shared" ref="P1697:W1697" si="1596">P1696+P1695+P1694</f>
        <v>32625.859999999997</v>
      </c>
      <c r="Q1697" s="181">
        <f t="shared" si="1596"/>
        <v>36523.589999999997</v>
      </c>
      <c r="R1697" s="181">
        <f t="shared" si="1596"/>
        <v>35805.129999999997</v>
      </c>
      <c r="S1697" s="181">
        <f t="shared" si="1596"/>
        <v>35302.769999999997</v>
      </c>
      <c r="T1697" s="255">
        <f t="shared" si="1596"/>
        <v>33735.99</v>
      </c>
      <c r="U1697" s="255">
        <f t="shared" si="1596"/>
        <v>26101.769999999997</v>
      </c>
      <c r="V1697" s="255">
        <f t="shared" si="1596"/>
        <v>30394.97</v>
      </c>
      <c r="W1697" s="255">
        <f t="shared" si="1596"/>
        <v>29526.21</v>
      </c>
      <c r="X1697" s="256" t="s">
        <v>11</v>
      </c>
      <c r="Y1697" s="255"/>
      <c r="Z1697" s="526"/>
      <c r="AA1697" s="570"/>
      <c r="AB1697" s="255"/>
      <c r="AC1697" s="255"/>
      <c r="AD1697" s="255"/>
      <c r="AE1697" s="255"/>
      <c r="AF1697" s="255"/>
      <c r="AG1697" s="255"/>
      <c r="AH1697" s="255"/>
      <c r="AI1697" s="255"/>
      <c r="AJ1697" s="255"/>
      <c r="AK1697" s="255"/>
      <c r="AL1697" s="255"/>
      <c r="AM1697" s="255"/>
      <c r="AN1697" s="255"/>
      <c r="AO1697" s="255"/>
      <c r="AP1697" s="255"/>
      <c r="AQ1697" s="255"/>
      <c r="AR1697" s="255"/>
      <c r="AS1697" s="255"/>
      <c r="AT1697" s="255"/>
    </row>
    <row r="1698" spans="1:46" s="178" customFormat="1" ht="13.8" thickBot="1" x14ac:dyDescent="0.3">
      <c r="A1698" s="177"/>
      <c r="B1698" s="177"/>
      <c r="C1698" s="306"/>
      <c r="H1698" s="257"/>
      <c r="I1698" s="257"/>
      <c r="J1698" s="257"/>
      <c r="K1698" s="289" t="s">
        <v>5</v>
      </c>
      <c r="L1698" s="258">
        <f t="shared" ref="L1698:P1698" si="1597">L1697+L1693</f>
        <v>4990661.2799999993</v>
      </c>
      <c r="M1698" s="258">
        <f t="shared" si="1597"/>
        <v>4973565.96</v>
      </c>
      <c r="N1698" s="185">
        <f t="shared" si="1597"/>
        <v>5305462.9300000006</v>
      </c>
      <c r="O1698" s="185">
        <f t="shared" si="1597"/>
        <v>4524118.79</v>
      </c>
      <c r="P1698" s="185">
        <f t="shared" si="1597"/>
        <v>5097051.58</v>
      </c>
      <c r="Q1698" s="185">
        <f t="shared" ref="Q1698:R1698" si="1598">Q1697+Q1693</f>
        <v>4871150.22</v>
      </c>
      <c r="R1698" s="185">
        <f t="shared" si="1598"/>
        <v>3850525.94</v>
      </c>
      <c r="S1698" s="185">
        <f t="shared" ref="S1698:T1698" si="1599">S1697+S1693</f>
        <v>3929033.13</v>
      </c>
      <c r="T1698" s="185">
        <f t="shared" si="1599"/>
        <v>3995651.8200000003</v>
      </c>
      <c r="U1698" s="258">
        <f t="shared" ref="U1698:V1698" si="1600">U1697+U1693</f>
        <v>3477856.77</v>
      </c>
      <c r="V1698" s="258">
        <f t="shared" si="1600"/>
        <v>3642047.47</v>
      </c>
      <c r="W1698" s="258">
        <f t="shared" ref="W1698" si="1601">W1697+W1693</f>
        <v>3144863.71</v>
      </c>
      <c r="X1698" s="186" t="s">
        <v>11</v>
      </c>
      <c r="Y1698" s="258"/>
      <c r="Z1698" s="527"/>
      <c r="AA1698" s="571"/>
      <c r="AB1698" s="258"/>
      <c r="AC1698" s="258"/>
      <c r="AD1698" s="258"/>
      <c r="AE1698" s="258"/>
      <c r="AF1698" s="258"/>
      <c r="AG1698" s="258"/>
      <c r="AH1698" s="258"/>
      <c r="AI1698" s="258"/>
      <c r="AJ1698" s="258"/>
      <c r="AK1698" s="258"/>
      <c r="AL1698" s="258"/>
      <c r="AM1698" s="258"/>
      <c r="AN1698" s="258"/>
      <c r="AO1698" s="258"/>
      <c r="AP1698" s="258"/>
      <c r="AQ1698" s="258"/>
      <c r="AR1698" s="258"/>
      <c r="AS1698" s="258"/>
      <c r="AT1698" s="258"/>
    </row>
    <row r="1699" spans="1:46" ht="14.4" thickTop="1" thickBot="1" x14ac:dyDescent="0.3">
      <c r="G1699" s="1"/>
      <c r="H1699" s="1"/>
      <c r="I1699" s="3"/>
      <c r="J1699" s="3"/>
      <c r="L1699" s="174"/>
      <c r="M1699" s="174"/>
      <c r="N1699" s="174"/>
      <c r="O1699" s="174"/>
      <c r="P1699" s="174"/>
      <c r="Q1699" s="174"/>
      <c r="Z1699" s="490"/>
      <c r="AA1699" s="60"/>
    </row>
    <row r="1700" spans="1:46" s="178" customFormat="1" ht="13.8" thickBot="1" x14ac:dyDescent="0.3">
      <c r="A1700" s="177"/>
      <c r="B1700" s="177"/>
      <c r="C1700" s="306"/>
      <c r="H1700" s="195"/>
      <c r="I1700" s="195"/>
      <c r="J1700" s="195" t="s">
        <v>45</v>
      </c>
      <c r="K1700" s="291" t="s">
        <v>1</v>
      </c>
      <c r="L1700" s="181">
        <f t="shared" ref="L1700:R1701" si="1602">L122+L177</f>
        <v>275000</v>
      </c>
      <c r="M1700" s="181">
        <f t="shared" si="1602"/>
        <v>275000</v>
      </c>
      <c r="N1700" s="181">
        <f t="shared" si="1602"/>
        <v>275000</v>
      </c>
      <c r="O1700" s="181">
        <f t="shared" si="1602"/>
        <v>275000</v>
      </c>
      <c r="P1700" s="181">
        <f t="shared" si="1602"/>
        <v>275000</v>
      </c>
      <c r="Q1700" s="181">
        <f t="shared" si="1602"/>
        <v>280000</v>
      </c>
      <c r="R1700" s="181">
        <f t="shared" si="1602"/>
        <v>270000</v>
      </c>
      <c r="S1700" s="181">
        <f t="shared" ref="S1700:X1701" si="1603">S122</f>
        <v>60000</v>
      </c>
      <c r="T1700" s="181">
        <f t="shared" si="1603"/>
        <v>60000</v>
      </c>
      <c r="U1700" s="181">
        <f t="shared" si="1603"/>
        <v>60000</v>
      </c>
      <c r="V1700" s="181">
        <f t="shared" si="1603"/>
        <v>60000</v>
      </c>
      <c r="W1700" s="181">
        <f t="shared" si="1603"/>
        <v>60000</v>
      </c>
      <c r="X1700" s="181">
        <f t="shared" si="1603"/>
        <v>60000</v>
      </c>
      <c r="Y1700" s="178" t="s">
        <v>11</v>
      </c>
      <c r="Z1700" s="519"/>
      <c r="AA1700" s="562"/>
      <c r="AB1700" s="181"/>
      <c r="AC1700" s="181"/>
      <c r="AD1700" s="181"/>
      <c r="AE1700" s="181"/>
      <c r="AF1700" s="181"/>
      <c r="AG1700" s="181"/>
      <c r="AH1700" s="181"/>
      <c r="AI1700" s="181"/>
      <c r="AJ1700" s="181"/>
      <c r="AK1700" s="181"/>
      <c r="AL1700" s="181"/>
      <c r="AM1700" s="181"/>
      <c r="AN1700" s="181"/>
      <c r="AO1700" s="181"/>
      <c r="AP1700" s="181"/>
      <c r="AQ1700" s="181"/>
      <c r="AR1700" s="181"/>
      <c r="AS1700" s="181"/>
      <c r="AT1700" s="181"/>
    </row>
    <row r="1701" spans="1:46" s="178" customFormat="1" ht="13.8" thickBot="1" x14ac:dyDescent="0.3">
      <c r="A1701" s="177"/>
      <c r="B1701" s="177"/>
      <c r="C1701" s="306"/>
      <c r="H1701" s="154" t="s">
        <v>543</v>
      </c>
      <c r="I1701" s="154"/>
      <c r="J1701" s="154"/>
      <c r="K1701" s="291" t="s">
        <v>2</v>
      </c>
      <c r="L1701" s="181">
        <f t="shared" si="1602"/>
        <v>100620</v>
      </c>
      <c r="M1701" s="181">
        <f t="shared" si="1602"/>
        <v>89470</v>
      </c>
      <c r="N1701" s="181">
        <f t="shared" si="1602"/>
        <v>76095</v>
      </c>
      <c r="O1701" s="357">
        <f t="shared" si="1602"/>
        <v>62735</v>
      </c>
      <c r="P1701" s="181">
        <f t="shared" si="1602"/>
        <v>49375</v>
      </c>
      <c r="Q1701" s="357">
        <f t="shared" si="1602"/>
        <v>35800</v>
      </c>
      <c r="R1701" s="357">
        <f t="shared" si="1602"/>
        <v>23400</v>
      </c>
      <c r="S1701" s="357">
        <f t="shared" si="1603"/>
        <v>16350</v>
      </c>
      <c r="T1701" s="357">
        <f t="shared" si="1603"/>
        <v>13350</v>
      </c>
      <c r="U1701" s="181">
        <f t="shared" si="1603"/>
        <v>10425</v>
      </c>
      <c r="V1701" s="181">
        <f t="shared" si="1603"/>
        <v>7500</v>
      </c>
      <c r="W1701" s="181">
        <f t="shared" si="1603"/>
        <v>4500</v>
      </c>
      <c r="X1701" s="181">
        <f t="shared" si="1603"/>
        <v>1500</v>
      </c>
      <c r="Y1701" s="178" t="s">
        <v>11</v>
      </c>
      <c r="Z1701" s="519"/>
      <c r="AA1701" s="562"/>
      <c r="AB1701" s="181"/>
      <c r="AC1701" s="181"/>
      <c r="AD1701" s="181"/>
      <c r="AE1701" s="181"/>
      <c r="AF1701" s="181"/>
      <c r="AG1701" s="181"/>
      <c r="AH1701" s="181"/>
      <c r="AI1701" s="181"/>
      <c r="AJ1701" s="181"/>
      <c r="AK1701" s="181"/>
      <c r="AL1701" s="181"/>
      <c r="AM1701" s="181"/>
      <c r="AN1701" s="181"/>
      <c r="AO1701" s="181"/>
      <c r="AP1701" s="181"/>
      <c r="AQ1701" s="181"/>
      <c r="AR1701" s="181"/>
      <c r="AS1701" s="181"/>
      <c r="AT1701" s="181"/>
    </row>
    <row r="1702" spans="1:46" s="178" customFormat="1" ht="13.8" thickBot="1" x14ac:dyDescent="0.3">
      <c r="A1702" s="177"/>
      <c r="B1702" s="177"/>
      <c r="C1702" s="306"/>
      <c r="H1702" s="261"/>
      <c r="I1702" s="261"/>
      <c r="J1702" s="262" t="s">
        <v>415</v>
      </c>
      <c r="K1702" s="291" t="s">
        <v>5</v>
      </c>
      <c r="L1702" s="185">
        <f t="shared" ref="L1702:P1702" si="1604">L1701+L1700</f>
        <v>375620</v>
      </c>
      <c r="M1702" s="185">
        <f t="shared" si="1604"/>
        <v>364470</v>
      </c>
      <c r="N1702" s="185">
        <f t="shared" ref="N1702" si="1605">N1701+N1700</f>
        <v>351095</v>
      </c>
      <c r="O1702" s="185">
        <f>O1701+O1700</f>
        <v>337735</v>
      </c>
      <c r="P1702" s="185">
        <f t="shared" si="1604"/>
        <v>324375</v>
      </c>
      <c r="Q1702" s="185">
        <f t="shared" ref="Q1702:R1702" si="1606">Q1701+Q1700</f>
        <v>315800</v>
      </c>
      <c r="R1702" s="185">
        <f t="shared" si="1606"/>
        <v>293400</v>
      </c>
      <c r="S1702" s="185">
        <f t="shared" ref="S1702:T1702" si="1607">S1701+S1700</f>
        <v>76350</v>
      </c>
      <c r="T1702" s="185">
        <f t="shared" si="1607"/>
        <v>73350</v>
      </c>
      <c r="U1702" s="185">
        <f t="shared" ref="U1702:V1702" si="1608">U1701+U1700</f>
        <v>70425</v>
      </c>
      <c r="V1702" s="185">
        <f t="shared" si="1608"/>
        <v>67500</v>
      </c>
      <c r="W1702" s="185">
        <f t="shared" ref="W1702:X1702" si="1609">W1701+W1700</f>
        <v>64500</v>
      </c>
      <c r="X1702" s="185">
        <f t="shared" si="1609"/>
        <v>61500</v>
      </c>
      <c r="Y1702" s="186" t="s">
        <v>11</v>
      </c>
      <c r="Z1702" s="525"/>
      <c r="AA1702" s="569"/>
      <c r="AB1702" s="185"/>
      <c r="AC1702" s="185"/>
      <c r="AD1702" s="185"/>
      <c r="AE1702" s="185"/>
      <c r="AF1702" s="185"/>
      <c r="AG1702" s="185"/>
      <c r="AH1702" s="185"/>
      <c r="AI1702" s="185"/>
      <c r="AJ1702" s="185"/>
      <c r="AK1702" s="185"/>
      <c r="AL1702" s="185"/>
      <c r="AM1702" s="185"/>
      <c r="AN1702" s="185"/>
      <c r="AO1702" s="185"/>
      <c r="AP1702" s="185"/>
      <c r="AQ1702" s="185"/>
      <c r="AR1702" s="185"/>
      <c r="AS1702" s="185"/>
      <c r="AT1702" s="185"/>
    </row>
    <row r="1703" spans="1:46" ht="14.4" thickTop="1" thickBot="1" x14ac:dyDescent="0.3">
      <c r="E1703" s="178"/>
      <c r="G1703" s="1"/>
      <c r="H1703" s="1"/>
      <c r="I1703" s="3"/>
      <c r="J1703" s="3"/>
      <c r="L1703" s="174"/>
      <c r="M1703" s="174"/>
      <c r="N1703" s="174"/>
      <c r="O1703" s="174"/>
      <c r="P1703" s="174"/>
      <c r="Q1703" s="174"/>
      <c r="Z1703" s="490"/>
      <c r="AA1703" s="60"/>
    </row>
    <row r="1704" spans="1:46" s="178" customFormat="1" ht="13.8" thickBot="1" x14ac:dyDescent="0.3">
      <c r="A1704" s="177"/>
      <c r="B1704" s="177"/>
      <c r="C1704" s="306"/>
      <c r="H1704" s="191"/>
      <c r="I1704" s="191"/>
      <c r="J1704" s="191" t="s">
        <v>34</v>
      </c>
      <c r="K1704" s="292" t="s">
        <v>1</v>
      </c>
      <c r="L1704" s="181">
        <f t="shared" ref="L1704:W1704" si="1610">L76</f>
        <v>110000</v>
      </c>
      <c r="M1704" s="181">
        <f t="shared" si="1610"/>
        <v>110000</v>
      </c>
      <c r="N1704" s="181">
        <f t="shared" si="1610"/>
        <v>110000</v>
      </c>
      <c r="O1704" s="181">
        <f t="shared" si="1610"/>
        <v>110000</v>
      </c>
      <c r="P1704" s="181">
        <f t="shared" si="1610"/>
        <v>110000</v>
      </c>
      <c r="Q1704" s="181">
        <f t="shared" si="1610"/>
        <v>110000</v>
      </c>
      <c r="R1704" s="181">
        <f t="shared" si="1610"/>
        <v>110000</v>
      </c>
      <c r="S1704" s="181">
        <f t="shared" si="1610"/>
        <v>110000</v>
      </c>
      <c r="T1704" s="181">
        <f t="shared" si="1610"/>
        <v>110000</v>
      </c>
      <c r="U1704" s="181">
        <f t="shared" si="1610"/>
        <v>110000</v>
      </c>
      <c r="V1704" s="181">
        <f t="shared" si="1610"/>
        <v>110000</v>
      </c>
      <c r="W1704" s="181">
        <f t="shared" si="1610"/>
        <v>100000</v>
      </c>
      <c r="X1704" s="178" t="s">
        <v>11</v>
      </c>
      <c r="Y1704" s="181"/>
      <c r="Z1704" s="519"/>
      <c r="AA1704" s="562"/>
      <c r="AB1704" s="181"/>
      <c r="AC1704" s="181"/>
      <c r="AD1704" s="181"/>
      <c r="AE1704" s="181"/>
      <c r="AF1704" s="181"/>
      <c r="AG1704" s="181"/>
      <c r="AH1704" s="181"/>
      <c r="AI1704" s="181"/>
      <c r="AJ1704" s="181"/>
      <c r="AK1704" s="181"/>
      <c r="AL1704" s="181"/>
      <c r="AM1704" s="181"/>
      <c r="AN1704" s="181"/>
      <c r="AO1704" s="181"/>
      <c r="AP1704" s="181"/>
      <c r="AQ1704" s="181"/>
      <c r="AR1704" s="181"/>
      <c r="AS1704" s="181"/>
      <c r="AT1704" s="181"/>
    </row>
    <row r="1705" spans="1:46" s="178" customFormat="1" ht="13.8" thickBot="1" x14ac:dyDescent="0.3">
      <c r="A1705" s="177"/>
      <c r="B1705" s="177"/>
      <c r="C1705" s="306"/>
      <c r="H1705" s="155" t="s">
        <v>544</v>
      </c>
      <c r="I1705" s="155"/>
      <c r="J1705" s="155"/>
      <c r="K1705" s="292" t="s">
        <v>2</v>
      </c>
      <c r="L1705" s="181">
        <f t="shared" ref="L1705:W1705" si="1611">L77</f>
        <v>54567.5</v>
      </c>
      <c r="M1705" s="181">
        <f t="shared" si="1611"/>
        <v>50607.5</v>
      </c>
      <c r="N1705" s="181">
        <f t="shared" si="1611"/>
        <v>46537.5</v>
      </c>
      <c r="O1705" s="357">
        <f t="shared" si="1611"/>
        <v>42247.5</v>
      </c>
      <c r="P1705" s="181">
        <f t="shared" si="1611"/>
        <v>37847.5</v>
      </c>
      <c r="Q1705" s="357">
        <f t="shared" si="1611"/>
        <v>33447.5</v>
      </c>
      <c r="R1705" s="357">
        <f t="shared" si="1611"/>
        <v>28910</v>
      </c>
      <c r="S1705" s="357">
        <f t="shared" si="1611"/>
        <v>24235</v>
      </c>
      <c r="T1705" s="357">
        <f t="shared" si="1611"/>
        <v>19560</v>
      </c>
      <c r="U1705" s="181">
        <f t="shared" si="1611"/>
        <v>14610</v>
      </c>
      <c r="V1705" s="357">
        <f t="shared" si="1611"/>
        <v>9660</v>
      </c>
      <c r="W1705" s="357">
        <f t="shared" si="1611"/>
        <v>4600</v>
      </c>
      <c r="X1705" s="178" t="s">
        <v>11</v>
      </c>
      <c r="Y1705" s="181"/>
      <c r="Z1705" s="519"/>
      <c r="AA1705" s="562"/>
      <c r="AB1705" s="181"/>
      <c r="AC1705" s="181"/>
      <c r="AD1705" s="181"/>
      <c r="AE1705" s="181"/>
      <c r="AF1705" s="181"/>
      <c r="AG1705" s="181"/>
      <c r="AH1705" s="181"/>
      <c r="AI1705" s="181"/>
      <c r="AJ1705" s="181"/>
      <c r="AK1705" s="181"/>
      <c r="AL1705" s="181"/>
      <c r="AM1705" s="181"/>
      <c r="AN1705" s="181"/>
      <c r="AO1705" s="181"/>
      <c r="AP1705" s="181"/>
      <c r="AQ1705" s="181"/>
      <c r="AR1705" s="181"/>
      <c r="AS1705" s="181"/>
      <c r="AT1705" s="181"/>
    </row>
    <row r="1706" spans="1:46" s="178" customFormat="1" ht="13.8" thickBot="1" x14ac:dyDescent="0.3">
      <c r="A1706" s="177"/>
      <c r="B1706" s="177"/>
      <c r="C1706" s="306"/>
      <c r="H1706" s="264"/>
      <c r="I1706" s="264"/>
      <c r="J1706" s="265" t="s">
        <v>415</v>
      </c>
      <c r="K1706" s="192" t="s">
        <v>6</v>
      </c>
      <c r="L1706" s="255">
        <f t="shared" ref="L1706:P1706" si="1612">L1705+L1704</f>
        <v>164567.5</v>
      </c>
      <c r="M1706" s="255">
        <f t="shared" si="1612"/>
        <v>160607.5</v>
      </c>
      <c r="N1706" s="255">
        <f t="shared" si="1612"/>
        <v>156537.5</v>
      </c>
      <c r="O1706" s="357">
        <f t="shared" si="1612"/>
        <v>152247.5</v>
      </c>
      <c r="P1706" s="255">
        <f t="shared" si="1612"/>
        <v>147847.5</v>
      </c>
      <c r="Q1706" s="181">
        <f t="shared" ref="Q1706:R1706" si="1613">Q1705+Q1704</f>
        <v>143447.5</v>
      </c>
      <c r="R1706" s="181">
        <f t="shared" si="1613"/>
        <v>138910</v>
      </c>
      <c r="S1706" s="181">
        <f t="shared" ref="S1706:T1706" si="1614">S1705+S1704</f>
        <v>134235</v>
      </c>
      <c r="T1706" s="255">
        <f t="shared" si="1614"/>
        <v>129560</v>
      </c>
      <c r="U1706" s="255">
        <f t="shared" ref="U1706" si="1615">U1705+U1704</f>
        <v>124610</v>
      </c>
      <c r="V1706" s="255">
        <f>V78</f>
        <v>119660</v>
      </c>
      <c r="W1706" s="255">
        <f>W78</f>
        <v>104600</v>
      </c>
      <c r="X1706" s="256" t="s">
        <v>11</v>
      </c>
      <c r="Y1706" s="255"/>
      <c r="Z1706" s="526"/>
      <c r="AA1706" s="570"/>
      <c r="AB1706" s="255"/>
      <c r="AC1706" s="255"/>
      <c r="AD1706" s="255"/>
      <c r="AE1706" s="255"/>
      <c r="AF1706" s="255"/>
      <c r="AG1706" s="255"/>
      <c r="AH1706" s="255"/>
      <c r="AI1706" s="255"/>
      <c r="AJ1706" s="255"/>
      <c r="AK1706" s="255"/>
      <c r="AL1706" s="255"/>
      <c r="AM1706" s="255"/>
      <c r="AN1706" s="255"/>
      <c r="AO1706" s="255"/>
      <c r="AP1706" s="255"/>
      <c r="AQ1706" s="255"/>
      <c r="AR1706" s="255"/>
      <c r="AS1706" s="255"/>
      <c r="AT1706" s="255"/>
    </row>
    <row r="1707" spans="1:46" s="178" customFormat="1" ht="13.8" thickBot="1" x14ac:dyDescent="0.3">
      <c r="A1707" s="177"/>
      <c r="B1707" s="177"/>
      <c r="C1707" s="306"/>
      <c r="H1707" s="191"/>
      <c r="I1707" s="191"/>
      <c r="J1707" s="191"/>
      <c r="K1707" s="292" t="s">
        <v>1</v>
      </c>
      <c r="L1707" s="181">
        <f t="shared" ref="L1707:T1707" si="1616">L1516+L1521+L1546</f>
        <v>103833.97</v>
      </c>
      <c r="M1707" s="181">
        <f t="shared" si="1616"/>
        <v>116178.1</v>
      </c>
      <c r="N1707" s="181">
        <f t="shared" si="1616"/>
        <v>114490.23</v>
      </c>
      <c r="O1707" s="181">
        <f t="shared" si="1616"/>
        <v>122513.5</v>
      </c>
      <c r="P1707" s="181">
        <f t="shared" si="1616"/>
        <v>126367.95</v>
      </c>
      <c r="Q1707" s="358">
        <f t="shared" si="1616"/>
        <v>130590.00000000001</v>
      </c>
      <c r="R1707" s="358">
        <f t="shared" si="1616"/>
        <v>138203.76999999999</v>
      </c>
      <c r="S1707" s="358">
        <f t="shared" si="1616"/>
        <v>144690.91</v>
      </c>
      <c r="T1707" s="358">
        <f t="shared" si="1616"/>
        <v>142503.16999999998</v>
      </c>
      <c r="U1707" s="178" t="s">
        <v>11</v>
      </c>
      <c r="V1707" s="181"/>
      <c r="W1707" s="181"/>
      <c r="Y1707" s="181"/>
      <c r="Z1707" s="519"/>
      <c r="AA1707" s="562"/>
      <c r="AB1707" s="181"/>
      <c r="AC1707" s="181"/>
      <c r="AD1707" s="181"/>
      <c r="AE1707" s="181"/>
      <c r="AF1707" s="181"/>
      <c r="AG1707" s="181"/>
      <c r="AH1707" s="181"/>
      <c r="AI1707" s="181"/>
      <c r="AJ1707" s="181"/>
      <c r="AK1707" s="181"/>
      <c r="AL1707" s="181"/>
      <c r="AM1707" s="181"/>
      <c r="AN1707" s="181"/>
      <c r="AO1707" s="181"/>
      <c r="AP1707" s="181"/>
      <c r="AQ1707" s="181"/>
      <c r="AR1707" s="181"/>
      <c r="AS1707" s="181"/>
      <c r="AT1707" s="181"/>
    </row>
    <row r="1708" spans="1:46" s="178" customFormat="1" ht="13.8" thickBot="1" x14ac:dyDescent="0.3">
      <c r="A1708" s="177"/>
      <c r="B1708" s="177"/>
      <c r="C1708" s="306"/>
      <c r="H1708" s="155"/>
      <c r="I1708" s="155"/>
      <c r="J1708" s="155"/>
      <c r="K1708" s="292" t="s">
        <v>2</v>
      </c>
      <c r="L1708" s="181">
        <f t="shared" ref="L1708:T1708" si="1617">L1517+L1522+L1547</f>
        <v>29283.439999999999</v>
      </c>
      <c r="M1708" s="181">
        <f t="shared" si="1617"/>
        <v>23359.37</v>
      </c>
      <c r="N1708" s="181">
        <f t="shared" si="1617"/>
        <v>21929.88</v>
      </c>
      <c r="O1708" s="181">
        <f t="shared" si="1617"/>
        <v>15092.35</v>
      </c>
      <c r="P1708" s="181">
        <f t="shared" si="1617"/>
        <v>10801.220000000001</v>
      </c>
      <c r="Q1708" s="181">
        <f t="shared" si="1617"/>
        <v>6357.59</v>
      </c>
      <c r="R1708" s="181">
        <f t="shared" si="1617"/>
        <v>2379.5499999999997</v>
      </c>
      <c r="S1708" s="181">
        <f t="shared" si="1617"/>
        <v>0</v>
      </c>
      <c r="T1708" s="181">
        <f t="shared" si="1617"/>
        <v>0</v>
      </c>
      <c r="U1708" s="178" t="s">
        <v>11</v>
      </c>
      <c r="V1708" s="181"/>
      <c r="W1708" s="181"/>
      <c r="Y1708" s="181"/>
      <c r="Z1708" s="519"/>
      <c r="AA1708" s="562"/>
      <c r="AB1708" s="181"/>
      <c r="AC1708" s="181"/>
      <c r="AD1708" s="181"/>
      <c r="AE1708" s="181"/>
      <c r="AF1708" s="181"/>
      <c r="AG1708" s="181"/>
      <c r="AH1708" s="181"/>
      <c r="AI1708" s="181"/>
      <c r="AJ1708" s="181"/>
      <c r="AK1708" s="181"/>
      <c r="AL1708" s="181"/>
      <c r="AM1708" s="181"/>
      <c r="AN1708" s="181"/>
      <c r="AO1708" s="181"/>
      <c r="AP1708" s="181"/>
      <c r="AQ1708" s="181"/>
      <c r="AR1708" s="181"/>
      <c r="AS1708" s="181"/>
      <c r="AT1708" s="181"/>
    </row>
    <row r="1709" spans="1:46" s="178" customFormat="1" ht="13.8" thickBot="1" x14ac:dyDescent="0.3">
      <c r="A1709" s="177"/>
      <c r="B1709" s="177"/>
      <c r="C1709" s="306"/>
      <c r="H1709" s="155"/>
      <c r="I1709" s="155"/>
      <c r="J1709" s="155"/>
      <c r="K1709" s="292" t="s">
        <v>386</v>
      </c>
      <c r="L1709" s="181">
        <f t="shared" ref="L1709:T1709" si="1618">L1518+L1523+L1548</f>
        <v>2313.3999999999996</v>
      </c>
      <c r="M1709" s="181">
        <f t="shared" si="1618"/>
        <v>2071.08</v>
      </c>
      <c r="N1709" s="181">
        <f t="shared" si="1618"/>
        <v>1761.88</v>
      </c>
      <c r="O1709" s="357">
        <f t="shared" si="1618"/>
        <v>1566.24</v>
      </c>
      <c r="P1709" s="357">
        <f t="shared" si="1618"/>
        <v>1302.05</v>
      </c>
      <c r="Q1709" s="357">
        <f t="shared" si="1618"/>
        <v>1031</v>
      </c>
      <c r="R1709" s="357">
        <f t="shared" si="1618"/>
        <v>749.32999999999993</v>
      </c>
      <c r="S1709" s="357">
        <f t="shared" si="1618"/>
        <v>453.72</v>
      </c>
      <c r="T1709" s="357">
        <f t="shared" si="1618"/>
        <v>151.24</v>
      </c>
      <c r="U1709" s="178" t="s">
        <v>11</v>
      </c>
      <c r="V1709" s="181"/>
      <c r="W1709" s="181"/>
      <c r="Y1709" s="181"/>
      <c r="Z1709" s="519"/>
      <c r="AA1709" s="562"/>
      <c r="AB1709" s="181"/>
      <c r="AC1709" s="181"/>
      <c r="AD1709" s="181"/>
      <c r="AE1709" s="181"/>
      <c r="AF1709" s="181"/>
      <c r="AG1709" s="181"/>
      <c r="AH1709" s="181"/>
      <c r="AI1709" s="181"/>
      <c r="AJ1709" s="181"/>
      <c r="AK1709" s="181"/>
      <c r="AL1709" s="181"/>
      <c r="AM1709" s="181"/>
      <c r="AN1709" s="181"/>
      <c r="AO1709" s="181"/>
      <c r="AP1709" s="181"/>
      <c r="AQ1709" s="181"/>
      <c r="AR1709" s="181"/>
      <c r="AS1709" s="181"/>
      <c r="AT1709" s="181"/>
    </row>
    <row r="1710" spans="1:46" s="178" customFormat="1" ht="13.8" thickBot="1" x14ac:dyDescent="0.3">
      <c r="A1710" s="177"/>
      <c r="B1710" s="177"/>
      <c r="C1710" s="401" t="s">
        <v>719</v>
      </c>
      <c r="D1710" s="296"/>
      <c r="E1710" s="296"/>
      <c r="F1710" s="296"/>
      <c r="G1710" s="297"/>
      <c r="H1710" s="264"/>
      <c r="I1710" s="264"/>
      <c r="J1710" s="265" t="s">
        <v>716</v>
      </c>
      <c r="K1710" s="192" t="s">
        <v>6</v>
      </c>
      <c r="L1710" s="255">
        <f t="shared" ref="L1710:P1710" si="1619">L1709+L1708+L1707</f>
        <v>135430.81</v>
      </c>
      <c r="M1710" s="255">
        <f t="shared" si="1619"/>
        <v>141608.54999999999</v>
      </c>
      <c r="N1710" s="255">
        <f t="shared" ref="N1710" si="1620">N1709+N1708+N1707</f>
        <v>138181.99</v>
      </c>
      <c r="O1710" s="357">
        <f t="shared" si="1619"/>
        <v>139172.09</v>
      </c>
      <c r="P1710" s="181">
        <f t="shared" si="1619"/>
        <v>138471.22</v>
      </c>
      <c r="Q1710" s="181">
        <f t="shared" ref="Q1710:R1710" si="1621">Q1709+Q1708+Q1707</f>
        <v>137978.59000000003</v>
      </c>
      <c r="R1710" s="181">
        <f t="shared" si="1621"/>
        <v>141332.65</v>
      </c>
      <c r="S1710" s="181">
        <f t="shared" ref="S1710:T1710" si="1622">S1709+S1708+S1707</f>
        <v>145144.63</v>
      </c>
      <c r="T1710" s="255">
        <f t="shared" si="1622"/>
        <v>142654.40999999997</v>
      </c>
      <c r="U1710" s="256" t="s">
        <v>11</v>
      </c>
      <c r="V1710" s="255"/>
      <c r="W1710" s="255"/>
      <c r="X1710" s="256"/>
      <c r="Y1710" s="255"/>
      <c r="Z1710" s="526"/>
      <c r="AA1710" s="570"/>
      <c r="AB1710" s="255"/>
      <c r="AC1710" s="255"/>
      <c r="AD1710" s="255"/>
      <c r="AE1710" s="255"/>
      <c r="AF1710" s="255"/>
      <c r="AG1710" s="255"/>
      <c r="AH1710" s="255"/>
      <c r="AI1710" s="255"/>
      <c r="AJ1710" s="255"/>
      <c r="AK1710" s="255"/>
      <c r="AL1710" s="255"/>
      <c r="AM1710" s="255"/>
      <c r="AN1710" s="255"/>
      <c r="AO1710" s="255"/>
      <c r="AP1710" s="255"/>
      <c r="AQ1710" s="255"/>
      <c r="AR1710" s="255"/>
      <c r="AS1710" s="255"/>
      <c r="AT1710" s="255"/>
    </row>
    <row r="1711" spans="1:46" s="178" customFormat="1" ht="13.8" thickBot="1" x14ac:dyDescent="0.3">
      <c r="A1711" s="177"/>
      <c r="B1711" s="177"/>
      <c r="C1711" s="306"/>
      <c r="G1711" s="305" t="s">
        <v>1368</v>
      </c>
      <c r="H1711" s="263"/>
      <c r="I1711" s="263"/>
      <c r="J1711" s="263"/>
      <c r="K1711" s="292" t="s">
        <v>5</v>
      </c>
      <c r="L1711" s="258">
        <f t="shared" ref="L1711:P1711" si="1623">L1710+L1706</f>
        <v>299998.31</v>
      </c>
      <c r="M1711" s="258">
        <f t="shared" si="1623"/>
        <v>302216.05</v>
      </c>
      <c r="N1711" s="258">
        <f t="shared" ref="N1711" si="1624">N1710+N1706</f>
        <v>294719.49</v>
      </c>
      <c r="O1711" s="185">
        <f t="shared" si="1623"/>
        <v>291419.58999999997</v>
      </c>
      <c r="P1711" s="185">
        <f t="shared" si="1623"/>
        <v>286318.71999999997</v>
      </c>
      <c r="Q1711" s="185">
        <f t="shared" ref="Q1711:R1711" si="1625">Q1710+Q1706</f>
        <v>281426.09000000003</v>
      </c>
      <c r="R1711" s="185">
        <f t="shared" si="1625"/>
        <v>280242.65000000002</v>
      </c>
      <c r="S1711" s="185">
        <f t="shared" ref="S1711:T1711" si="1626">S1710+S1706</f>
        <v>279379.63</v>
      </c>
      <c r="T1711" s="185">
        <f t="shared" si="1626"/>
        <v>272214.40999999997</v>
      </c>
      <c r="U1711" s="258">
        <f>U1706</f>
        <v>124610</v>
      </c>
      <c r="V1711" s="258">
        <f t="shared" ref="V1711:W1711" si="1627">V1706</f>
        <v>119660</v>
      </c>
      <c r="W1711" s="258">
        <f t="shared" si="1627"/>
        <v>104600</v>
      </c>
      <c r="X1711" s="227" t="s">
        <v>11</v>
      </c>
      <c r="Y1711" s="258"/>
      <c r="Z1711" s="527"/>
      <c r="AA1711" s="571"/>
      <c r="AB1711" s="258"/>
      <c r="AC1711" s="258"/>
      <c r="AD1711" s="258"/>
      <c r="AE1711" s="258"/>
      <c r="AF1711" s="258"/>
      <c r="AG1711" s="258"/>
      <c r="AH1711" s="258"/>
      <c r="AI1711" s="258"/>
      <c r="AJ1711" s="258"/>
      <c r="AK1711" s="258"/>
      <c r="AL1711" s="258"/>
      <c r="AM1711" s="258"/>
      <c r="AN1711" s="258"/>
      <c r="AO1711" s="258"/>
      <c r="AP1711" s="258"/>
      <c r="AQ1711" s="258"/>
      <c r="AR1711" s="258"/>
      <c r="AS1711" s="258"/>
      <c r="AT1711" s="258"/>
    </row>
    <row r="1712" spans="1:46" ht="14.4" thickTop="1" thickBot="1" x14ac:dyDescent="0.3">
      <c r="G1712" s="1"/>
      <c r="H1712" s="1"/>
      <c r="I1712" s="3"/>
      <c r="J1712" s="3"/>
      <c r="L1712" s="174"/>
      <c r="M1712" s="174"/>
      <c r="N1712" s="174"/>
      <c r="O1712" s="174"/>
      <c r="P1712" s="174"/>
      <c r="Q1712" s="174"/>
      <c r="Z1712" s="490"/>
      <c r="AA1712" s="60"/>
    </row>
    <row r="1713" spans="1:46" s="178" customFormat="1" ht="13.8" thickBot="1" x14ac:dyDescent="0.3">
      <c r="A1713" s="177"/>
      <c r="B1713" s="177"/>
      <c r="C1713" s="306"/>
      <c r="H1713" s="187"/>
      <c r="I1713" s="187"/>
      <c r="J1713" s="187" t="s">
        <v>33</v>
      </c>
      <c r="K1713" s="293" t="s">
        <v>1</v>
      </c>
      <c r="L1713" s="181">
        <f t="shared" ref="L1713:N1714" si="1628">L24+L88+L252+L319+L389+L447+L547+L650</f>
        <v>579621</v>
      </c>
      <c r="M1713" s="181">
        <f t="shared" si="1628"/>
        <v>555000</v>
      </c>
      <c r="N1713" s="181">
        <f t="shared" si="1628"/>
        <v>510000</v>
      </c>
      <c r="O1713" s="181">
        <f>O24+O88+O252+O319+O389+O447+O547+O650+O1017</f>
        <v>500000</v>
      </c>
      <c r="P1713" s="181">
        <f>P24+P88+P252+P319+P389+P447+P547+P650+P938+P1017</f>
        <v>775000</v>
      </c>
      <c r="Q1713" s="181">
        <f>Q24+Q88+Q252+Q389+Q447+Q547+Q650+Q938+Q1017+Q1081</f>
        <v>755000</v>
      </c>
      <c r="R1713" s="181">
        <f>R24+R88+R252+R389+R447+R547+R650+R938+R1017+R1081</f>
        <v>720000</v>
      </c>
      <c r="S1713" s="181">
        <f>S24+S88+S252+S389+S547+S650+S938+S1017+S1081+S1188</f>
        <v>735000</v>
      </c>
      <c r="T1713" s="181">
        <f>T24+T88+T252+T389+T547+T650+T938+T1017+T1081+T1188+T1252</f>
        <v>705000</v>
      </c>
      <c r="U1713" s="181">
        <f>U88+U389+U547+U650+U938+U1017+U1081+U1188+U1252</f>
        <v>640000</v>
      </c>
      <c r="V1713" s="181">
        <f>V88+V389+V547+V650+V938+V1017+V1081+V1188+V1252</f>
        <v>645000</v>
      </c>
      <c r="W1713" s="181">
        <f>W88+W389+W547+W650+W938+W1017+W1081+W1188+W1252+W1405</f>
        <v>630000</v>
      </c>
      <c r="X1713" s="181">
        <f>X389+X547+X650+X938+X1017+X1081+X1188+X1252+X1371+X1405</f>
        <v>840000</v>
      </c>
      <c r="Y1713" s="181">
        <f>Y389+Y547+Y650+Y938+Y1017+Y1081+Y1188+Y1252+Y1371+Y1405+Y1500</f>
        <v>820000</v>
      </c>
      <c r="Z1713" s="519">
        <f>Z389+Z547+Z650+Z938+Z1017+Z1081+Z1188+Z1252+Z1371+Z1405+Z1457+Z1500</f>
        <v>1135000</v>
      </c>
      <c r="AA1713" s="562">
        <f>AA389+AA547+AA938+AA1017+AA1081+AA1188+AA1252+AA1371+AA1405+AA1457+AA1500</f>
        <v>935000</v>
      </c>
      <c r="AB1713" s="181">
        <f>AB547+AB938+AB1017+AB1081+AB1188+AB1252+AB1371+AB1405+AB1457+AB1500</f>
        <v>845000</v>
      </c>
      <c r="AC1713" s="181">
        <f>AC547+AC938+AC1017+AC1081+AC1188+AC1252+AC1371+AC1405+AC1457+AC1500</f>
        <v>825000</v>
      </c>
      <c r="AD1713" s="181">
        <f>AD938+AD1017+AD1081+AD1188+AD1252+AD1371+AD1405+AD1457+AD1500</f>
        <v>780000</v>
      </c>
      <c r="AE1713" s="181">
        <f>AE938+AE1081+AE1188+AE1252+AE1371+AE1405+AE1457+AE1500</f>
        <v>660000</v>
      </c>
      <c r="AF1713" s="181">
        <f>AF938+AF1081+AF1188+AF1252+AF1371+AF1405+AF1457+AF1500</f>
        <v>655000</v>
      </c>
      <c r="AG1713" s="181">
        <f>AG938+AG1188+AG1252+AG1371+AG1405+AG1457+AG1500</f>
        <v>595000</v>
      </c>
      <c r="AH1713" s="181">
        <f>AH938+AH1188+AH1252+AH1371+AH1405+AH1457+AH1500</f>
        <v>595000</v>
      </c>
      <c r="AI1713" s="181">
        <f t="shared" ref="AI1713:AL1714" si="1629">AI1188+AI1252+AI1371+AI1405+AI1457+AI1500</f>
        <v>535000</v>
      </c>
      <c r="AJ1713" s="181">
        <f t="shared" si="1629"/>
        <v>520000</v>
      </c>
      <c r="AK1713" s="181">
        <f t="shared" si="1629"/>
        <v>520000</v>
      </c>
      <c r="AL1713" s="181">
        <f t="shared" si="1629"/>
        <v>465000</v>
      </c>
      <c r="AM1713" s="181">
        <f>AM1252+AM1371+AM1405+AM1457+AM1500</f>
        <v>425000</v>
      </c>
      <c r="AN1713" s="181">
        <f t="shared" ref="AN1713:AP1714" si="1630">AN1371+AN1405+AN1457+AN1500</f>
        <v>340000</v>
      </c>
      <c r="AO1713" s="181">
        <f t="shared" si="1630"/>
        <v>340000</v>
      </c>
      <c r="AP1713" s="181">
        <f t="shared" si="1630"/>
        <v>340000</v>
      </c>
      <c r="AQ1713" s="181">
        <f>AQ1405+AQ1457+AQ1500</f>
        <v>245000</v>
      </c>
      <c r="AR1713" s="181">
        <f>AR1457+AR1500</f>
        <v>200000</v>
      </c>
      <c r="AS1713" s="181">
        <f>AS1500</f>
        <v>110000</v>
      </c>
      <c r="AT1713" s="178" t="s">
        <v>11</v>
      </c>
    </row>
    <row r="1714" spans="1:46" s="178" customFormat="1" ht="13.8" thickBot="1" x14ac:dyDescent="0.3">
      <c r="A1714" s="177"/>
      <c r="B1714" s="177"/>
      <c r="C1714" s="306"/>
      <c r="H1714" s="153" t="s">
        <v>545</v>
      </c>
      <c r="I1714" s="153"/>
      <c r="J1714" s="153"/>
      <c r="K1714" s="293" t="s">
        <v>2</v>
      </c>
      <c r="L1714" s="181">
        <f t="shared" si="1628"/>
        <v>244618.67</v>
      </c>
      <c r="M1714" s="181">
        <f t="shared" si="1628"/>
        <v>222986.23999999999</v>
      </c>
      <c r="N1714" s="181">
        <f t="shared" si="1628"/>
        <v>202049.38</v>
      </c>
      <c r="O1714" s="357">
        <f>O25+O89+O253+O320+O390+O448+O548+O651+O1018</f>
        <v>183373.12</v>
      </c>
      <c r="P1714" s="357">
        <f>P25+P89+P253+P320+P390+P448+P548+P651+P939+P1018</f>
        <v>229236.25</v>
      </c>
      <c r="Q1714" s="357">
        <f>Q25+Q89+Q253+Q390+Q448+Q548+Q651+Q939+Q1018+Q1082</f>
        <v>235811.53</v>
      </c>
      <c r="R1714" s="357">
        <f>R25+R89+R253+R390+R448+R548+R651+R939+R1018+R1082</f>
        <v>212237.5</v>
      </c>
      <c r="S1714" s="357">
        <f>S25+S89+S253+S390+S548+S651+S939+S1018+S1082+S1189</f>
        <v>221303.33000000002</v>
      </c>
      <c r="T1714" s="357">
        <f>T25+T89+T253+T390+T548+T651+T939+T1018+T1082+T1189+T1253</f>
        <v>230508.33000000002</v>
      </c>
      <c r="U1714" s="181">
        <f>U89+U390+U548+U651+U939+U1018+U1082+U1189+U1253</f>
        <v>204808.75</v>
      </c>
      <c r="V1714" s="181">
        <f>V89+V390+V548+V651+V939+V1018+V1082+V1189+V1253</f>
        <v>180696.25</v>
      </c>
      <c r="W1714" s="181">
        <f>W89+W390+W548+W651+W939+W1018+W1082+W1189+W1253+W1406</f>
        <v>154272.5</v>
      </c>
      <c r="X1714" s="181">
        <f>X390+X548+X651+X939+X1018+X1082+X1189+X1253+X1372+X1406</f>
        <v>278790.42</v>
      </c>
      <c r="Y1714" s="181">
        <f>Y390+Y548+Y651+Y939+Y1018+Y1082+Y1189+Y1253+Y1372+Y1406+Y1501</f>
        <v>245336.25</v>
      </c>
      <c r="Z1714" s="519">
        <f>Z390+Z548+Z651+Z939+Z1018+Z1082+Z1189+Z1253+Z1372+Z1406+Z1458+Z1501</f>
        <v>438063.74</v>
      </c>
      <c r="AA1714" s="562">
        <f>AA390+AA548+AA939+AA1018+AA1082+AA1189+AA1253+AA1372+AA1406+AA1458+AA1501</f>
        <v>394881.25</v>
      </c>
      <c r="AB1714" s="181">
        <f>AB548+AB939+AB1018+AB1082+AB1189+AB1253+AB1372+AB1406+AB1458+AB1501</f>
        <v>356116.25</v>
      </c>
      <c r="AC1714" s="181">
        <f>AC548+AC939+AC1018+AC1082+AC1189+AC1253+AC1372+AC1406+AC1458+AC1501</f>
        <v>321201.25</v>
      </c>
      <c r="AD1714" s="181">
        <f>AD939+AD1018+AD1082+AD1189+AD1253+AD1372+AD1406+AD1458+AD1501</f>
        <v>286496.25</v>
      </c>
      <c r="AE1714" s="181">
        <f>AE939+AE1082+AE1189+AE1253+AE1372+AE1406+AE1458+AE1501</f>
        <v>255241.25</v>
      </c>
      <c r="AF1714" s="181">
        <f>AF939+AF1082+AF1189+AF1253+AF1372+AF1406+AF1458+AF1501</f>
        <v>227536.25</v>
      </c>
      <c r="AG1714" s="181">
        <f>AG939+AG1189+AG1253+AG1372+AG1406+AG1458+AG1501</f>
        <v>200081.25</v>
      </c>
      <c r="AH1714" s="181">
        <f>AH939+AH1189+AH1253+AH1372+AH1406+AH1458+AH1501</f>
        <v>175726.25</v>
      </c>
      <c r="AI1714" s="181">
        <f t="shared" si="1629"/>
        <v>151906.25</v>
      </c>
      <c r="AJ1714" s="181">
        <f t="shared" si="1629"/>
        <v>131506.25</v>
      </c>
      <c r="AK1714" s="181">
        <f t="shared" si="1629"/>
        <v>112956.25</v>
      </c>
      <c r="AL1714" s="181">
        <f t="shared" si="1629"/>
        <v>94406.25</v>
      </c>
      <c r="AM1714" s="181">
        <f>AM1253+AM1372+AM1406+AM1458+AM1501</f>
        <v>77556.25</v>
      </c>
      <c r="AN1714" s="181">
        <f t="shared" si="1630"/>
        <v>61881.25</v>
      </c>
      <c r="AO1714" s="181">
        <f t="shared" si="1630"/>
        <v>49112.5</v>
      </c>
      <c r="AP1714" s="181">
        <f t="shared" si="1630"/>
        <v>36343.760000000002</v>
      </c>
      <c r="AQ1714" s="181">
        <f>AQ1406+AQ1458+AQ1501</f>
        <v>23300</v>
      </c>
      <c r="AR1714" s="181">
        <f>AR1458+AR1501</f>
        <v>13225</v>
      </c>
      <c r="AS1714" s="181">
        <f>AS1501</f>
        <v>4812.5</v>
      </c>
      <c r="AT1714" s="178" t="s">
        <v>11</v>
      </c>
    </row>
    <row r="1715" spans="1:46" s="178" customFormat="1" ht="13.8" thickBot="1" x14ac:dyDescent="0.3">
      <c r="A1715" s="177"/>
      <c r="B1715" s="177"/>
      <c r="C1715" s="306"/>
      <c r="H1715" s="266"/>
      <c r="I1715" s="266"/>
      <c r="J1715" s="267" t="s">
        <v>415</v>
      </c>
      <c r="K1715" s="188" t="s">
        <v>6</v>
      </c>
      <c r="L1715" s="255">
        <f t="shared" ref="L1715:P1715" si="1631">L1714+L1713</f>
        <v>824239.67</v>
      </c>
      <c r="M1715" s="255">
        <f t="shared" si="1631"/>
        <v>777986.24</v>
      </c>
      <c r="N1715" s="255">
        <f t="shared" ref="N1715" si="1632">N1714+N1713</f>
        <v>712049.38</v>
      </c>
      <c r="O1715" s="357">
        <f t="shared" si="1631"/>
        <v>683373.12</v>
      </c>
      <c r="P1715" s="255">
        <f t="shared" si="1631"/>
        <v>1004236.25</v>
      </c>
      <c r="Q1715" s="181">
        <f t="shared" ref="Q1715:R1715" si="1633">Q1714+Q1713</f>
        <v>990811.53</v>
      </c>
      <c r="R1715" s="181">
        <f t="shared" si="1633"/>
        <v>932237.5</v>
      </c>
      <c r="S1715" s="181">
        <f t="shared" ref="S1715:T1715" si="1634">S1714+S1713</f>
        <v>956303.33000000007</v>
      </c>
      <c r="T1715" s="255">
        <f t="shared" si="1634"/>
        <v>935508.33000000007</v>
      </c>
      <c r="U1715" s="255">
        <f t="shared" ref="U1715:V1715" si="1635">U1714+U1713</f>
        <v>844808.75</v>
      </c>
      <c r="V1715" s="255">
        <f t="shared" si="1635"/>
        <v>825696.25</v>
      </c>
      <c r="W1715" s="255">
        <f t="shared" ref="W1715:X1715" si="1636">W1714+W1713</f>
        <v>784272.5</v>
      </c>
      <c r="X1715" s="255">
        <f t="shared" si="1636"/>
        <v>1118790.42</v>
      </c>
      <c r="Y1715" s="255">
        <f t="shared" ref="Y1715:Z1715" si="1637">Y1714+Y1713</f>
        <v>1065336.25</v>
      </c>
      <c r="Z1715" s="526">
        <f t="shared" si="1637"/>
        <v>1573063.74</v>
      </c>
      <c r="AA1715" s="570">
        <f t="shared" ref="AA1715:AB1715" si="1638">AA1714+AA1713</f>
        <v>1329881.25</v>
      </c>
      <c r="AB1715" s="255">
        <f t="shared" si="1638"/>
        <v>1201116.25</v>
      </c>
      <c r="AC1715" s="255">
        <f t="shared" ref="AC1715:AD1715" si="1639">AC1714+AC1713</f>
        <v>1146201.25</v>
      </c>
      <c r="AD1715" s="255">
        <f t="shared" si="1639"/>
        <v>1066496.25</v>
      </c>
      <c r="AE1715" s="255">
        <f t="shared" ref="AE1715:AF1715" si="1640">AE1714+AE1713</f>
        <v>915241.25</v>
      </c>
      <c r="AF1715" s="255">
        <f t="shared" si="1640"/>
        <v>882536.25</v>
      </c>
      <c r="AG1715" s="255">
        <f t="shared" ref="AG1715:AL1715" si="1641">AG1714+AG1713</f>
        <v>795081.25</v>
      </c>
      <c r="AH1715" s="255">
        <f t="shared" si="1641"/>
        <v>770726.25</v>
      </c>
      <c r="AI1715" s="255">
        <f t="shared" si="1641"/>
        <v>686906.25</v>
      </c>
      <c r="AJ1715" s="255">
        <f t="shared" si="1641"/>
        <v>651506.25</v>
      </c>
      <c r="AK1715" s="255">
        <f t="shared" si="1641"/>
        <v>632956.25</v>
      </c>
      <c r="AL1715" s="255">
        <f t="shared" si="1641"/>
        <v>559406.25</v>
      </c>
      <c r="AM1715" s="255">
        <f t="shared" ref="AM1715:AN1715" si="1642">AM1714+AM1713</f>
        <v>502556.25</v>
      </c>
      <c r="AN1715" s="255">
        <f t="shared" si="1642"/>
        <v>401881.25</v>
      </c>
      <c r="AO1715" s="255">
        <f t="shared" ref="AO1715" si="1643">AO1714+AO1713</f>
        <v>389112.5</v>
      </c>
      <c r="AP1715" s="255">
        <f t="shared" ref="AP1715:AQ1715" si="1644">AP1714+AP1713</f>
        <v>376343.76</v>
      </c>
      <c r="AQ1715" s="255">
        <f t="shared" si="1644"/>
        <v>268300</v>
      </c>
      <c r="AR1715" s="255">
        <f t="shared" ref="AR1715:AS1715" si="1645">AR1714+AR1713</f>
        <v>213225</v>
      </c>
      <c r="AS1715" s="255">
        <f t="shared" si="1645"/>
        <v>114812.5</v>
      </c>
      <c r="AT1715" s="256" t="s">
        <v>11</v>
      </c>
    </row>
    <row r="1716" spans="1:46" s="178" customFormat="1" ht="13.8" thickBot="1" x14ac:dyDescent="0.3">
      <c r="A1716" s="177"/>
      <c r="B1716" s="177"/>
      <c r="C1716" s="306"/>
      <c r="H1716" s="187"/>
      <c r="I1716" s="187"/>
      <c r="J1716" s="187"/>
      <c r="K1716" s="293" t="s">
        <v>1</v>
      </c>
      <c r="L1716" s="181">
        <f t="shared" ref="L1716:N1718" si="1646">L1551+L1556+L1561+L1566+L1571+L1576+L1581+L1586+L1591+L1596+L1601+L1611+L1616+L1623</f>
        <v>294010.71999999997</v>
      </c>
      <c r="M1716" s="181">
        <f t="shared" si="1646"/>
        <v>337712.75</v>
      </c>
      <c r="N1716" s="181">
        <f t="shared" si="1646"/>
        <v>673598.34000000008</v>
      </c>
      <c r="O1716" s="181">
        <f>O1551+O1556+O1561+O1566+O1571+O1576+O1581+O1586+O1591+O1596+O1601+O1616+O1623</f>
        <v>691927.9</v>
      </c>
      <c r="P1716" s="181">
        <f t="shared" ref="P1716:U1716" si="1647">P1526+P1551+P1556+P1561+P1566+P1571+P1576+P1581+P1586+P1591+P1596+P1601+P1616+P1623</f>
        <v>1133728.21</v>
      </c>
      <c r="Q1716" s="358">
        <f t="shared" si="1647"/>
        <v>1140615.3299999998</v>
      </c>
      <c r="R1716" s="358">
        <f t="shared" si="1647"/>
        <v>1164271.3</v>
      </c>
      <c r="S1716" s="358">
        <f t="shared" si="1647"/>
        <v>1182921.8399999999</v>
      </c>
      <c r="T1716" s="358">
        <f t="shared" si="1647"/>
        <v>1211577.3640000001</v>
      </c>
      <c r="U1716" s="181">
        <f t="shared" si="1647"/>
        <v>1224750.4500000002</v>
      </c>
      <c r="V1716" s="181">
        <f>V1551+V1556+V1561+V1566+V1571+V1576+V1581+V1586+V1591+V1596+V1601+V1616+V1623</f>
        <v>1190868.6600000001</v>
      </c>
      <c r="W1716" s="181">
        <f>W1551+W1556+W1561+W1566+W1571+W1576+W1581+W1586+W1591+W1596+W1601+W1616+W1623</f>
        <v>1202853.2</v>
      </c>
      <c r="X1716" s="181">
        <f>X1551+X1556+X1561+X1566+X1571+X1576+X1581+X1586+X1591+X1596+X1601+X1616+X1623</f>
        <v>1225232.8500000001</v>
      </c>
      <c r="Y1716" s="181">
        <f>Y1556+Y1561+Y1566+Y1571+Y1576+Y1581+Y1586+Y1591+Y1596+Y1601+Y1616+Y1623</f>
        <v>1162696.97</v>
      </c>
      <c r="Z1716" s="519">
        <f>Z1566+Z1571+Z1576+Z1581+Z1586+Z1591+Z1596+Z1601+Z1616+Z1623</f>
        <v>1097450.83</v>
      </c>
      <c r="AA1716" s="562">
        <f>AA1571+AA1576+AA1586+AA1596+AA1601+AA1616+AA1623</f>
        <v>978213.64</v>
      </c>
      <c r="AB1716" s="181">
        <f>AB1576+AB1586+AB1596+AB1601+AB1616+AB1623</f>
        <v>937286.88</v>
      </c>
      <c r="AC1716" s="181">
        <f>AC1586+AC1596+AC1601+AC1616+AC1623</f>
        <v>897230.64999999991</v>
      </c>
      <c r="AD1716" s="181">
        <f>AD1586+AD1596+AD1601+AD1616+AD1623</f>
        <v>910652.59000000008</v>
      </c>
      <c r="AE1716" s="181">
        <f>AE1586+AE1596+AE1601+AE1616+AE1623</f>
        <v>924397.28</v>
      </c>
      <c r="AF1716" s="181">
        <f t="shared" ref="AF1716:AQ1716" si="1648">AF1616+AF1623</f>
        <v>870531.57000000007</v>
      </c>
      <c r="AG1716" s="181">
        <f t="shared" si="1648"/>
        <v>883578.32000000007</v>
      </c>
      <c r="AH1716" s="181">
        <f t="shared" si="1648"/>
        <v>896942.12</v>
      </c>
      <c r="AI1716" s="181">
        <f t="shared" si="1648"/>
        <v>910634.65</v>
      </c>
      <c r="AJ1716" s="181">
        <f t="shared" si="1648"/>
        <v>924661.59000000008</v>
      </c>
      <c r="AK1716" s="181">
        <f t="shared" si="1648"/>
        <v>939032.62</v>
      </c>
      <c r="AL1716" s="181">
        <f t="shared" si="1648"/>
        <v>953756.38</v>
      </c>
      <c r="AM1716" s="181">
        <f t="shared" si="1648"/>
        <v>968842.55</v>
      </c>
      <c r="AN1716" s="181">
        <f t="shared" si="1648"/>
        <v>984297.75</v>
      </c>
      <c r="AO1716" s="181">
        <f t="shared" si="1648"/>
        <v>1000135.63</v>
      </c>
      <c r="AP1716" s="181">
        <f t="shared" si="1648"/>
        <v>1016361.8200000001</v>
      </c>
      <c r="AQ1716" s="181">
        <f t="shared" si="1648"/>
        <v>1032986.9199999999</v>
      </c>
      <c r="AR1716" s="181">
        <f>AR1623</f>
        <v>364448.55</v>
      </c>
      <c r="AS1716" s="181">
        <f>AS1623</f>
        <v>364408.29</v>
      </c>
      <c r="AT1716" s="178" t="s">
        <v>11</v>
      </c>
    </row>
    <row r="1717" spans="1:46" s="178" customFormat="1" ht="13.8" thickBot="1" x14ac:dyDescent="0.3">
      <c r="A1717" s="177"/>
      <c r="B1717" s="177"/>
      <c r="C1717" s="306"/>
      <c r="H1717" s="153"/>
      <c r="I1717" s="153"/>
      <c r="J1717" s="153"/>
      <c r="K1717" s="293" t="s">
        <v>2</v>
      </c>
      <c r="L1717" s="181">
        <f t="shared" si="1646"/>
        <v>116749.95999999999</v>
      </c>
      <c r="M1717" s="181">
        <f t="shared" si="1646"/>
        <v>328334.01</v>
      </c>
      <c r="N1717" s="181">
        <f t="shared" si="1646"/>
        <v>288646.92</v>
      </c>
      <c r="O1717" s="181">
        <f>O1552+O1557+O1562+O1567+O1572+O1577+O1582+O1587+O1592+O1597+O1602+O1617+O1624</f>
        <v>110240.29000000001</v>
      </c>
      <c r="P1717" s="181">
        <f t="shared" ref="P1717:S1718" si="1649">P1527+P1552+P1557+P1562+P1567+P1572+P1577+P1582+P1587+P1592+P1597+P1602+P1617+P1624</f>
        <v>106019.6</v>
      </c>
      <c r="Q1717" s="181">
        <f t="shared" si="1649"/>
        <v>93267.27</v>
      </c>
      <c r="R1717" s="181">
        <f t="shared" si="1649"/>
        <v>80707.979999999981</v>
      </c>
      <c r="S1717" s="181">
        <f t="shared" si="1649"/>
        <v>68712.25</v>
      </c>
      <c r="T1717" s="181">
        <f>T1527+T1552+T1557+T1562+T1567+T1572+T1577+T1582+T1587+T1592+T1597+T1602</f>
        <v>57470.48</v>
      </c>
      <c r="U1717" s="181">
        <f>U1527+U1552+U1557+U1562+U1567+U1572+U1577+U1582+U1587+U1592+U1597+U1602</f>
        <v>47851.49</v>
      </c>
      <c r="V1717" s="181">
        <f>V1552+V1557+V1562+V1567+V1572+V1577+V1582+V1587+V1592+V1597+V1602</f>
        <v>39038.21</v>
      </c>
      <c r="W1717" s="181">
        <f>W1557+W1562+W1567+W1572+W1577+W1582+W1587+W1592+W1597+W1602</f>
        <v>31326.71</v>
      </c>
      <c r="X1717" s="181">
        <f>X1557+X1562+X1567+X1572+X1577+X1582+X1587+X1592+X1597+X1602</f>
        <v>24314.89</v>
      </c>
      <c r="Y1717" s="181">
        <f>Y1567+Y1572+Y1577+Y1582+Y1587+Y1592+Y1597+Y1602</f>
        <v>18512.54</v>
      </c>
      <c r="Z1717" s="519">
        <f>Z1567+Z1572+Z1577+Z1582+Z1587+Z1592+Z1597+Z1602</f>
        <v>12593.11</v>
      </c>
      <c r="AA1717" s="562">
        <f>AA1572+AA1577+AA1587+AA1597+AA1602</f>
        <v>7919.8600000000006</v>
      </c>
      <c r="AB1717" s="181">
        <f>AB1577+AB1587+AB1597+AB1602</f>
        <v>5076.84</v>
      </c>
      <c r="AC1717" s="181">
        <f>AC1587+AC1597+AC1602</f>
        <v>3277.77</v>
      </c>
      <c r="AD1717" s="181">
        <f>AD1587+AD1597+AD1602</f>
        <v>1984.92</v>
      </c>
      <c r="AE1717" s="181">
        <f>AE1587+AE1597+AE1602</f>
        <v>666</v>
      </c>
      <c r="AF1717" s="181"/>
      <c r="AG1717" s="181"/>
      <c r="AH1717" s="181"/>
      <c r="AI1717" s="181"/>
      <c r="AJ1717" s="181">
        <f t="shared" ref="AJ1717:AQ1717" si="1650">AJ1617</f>
        <v>70993.87</v>
      </c>
      <c r="AK1717" s="181">
        <f t="shared" si="1650"/>
        <v>96150.989999999991</v>
      </c>
      <c r="AL1717" s="181">
        <f t="shared" si="1650"/>
        <v>82356.800000000003</v>
      </c>
      <c r="AM1717" s="181">
        <f t="shared" si="1650"/>
        <v>68210.55</v>
      </c>
      <c r="AN1717" s="181">
        <f t="shared" si="1650"/>
        <v>53703.270000000004</v>
      </c>
      <c r="AO1717" s="181">
        <f t="shared" si="1650"/>
        <v>38825.74</v>
      </c>
      <c r="AP1717" s="181">
        <f t="shared" si="1650"/>
        <v>23568.5</v>
      </c>
      <c r="AQ1717" s="181">
        <f t="shared" si="1650"/>
        <v>7921.88</v>
      </c>
      <c r="AR1717" s="181">
        <v>0</v>
      </c>
      <c r="AS1717" s="181">
        <v>0</v>
      </c>
      <c r="AT1717" s="178" t="s">
        <v>11</v>
      </c>
    </row>
    <row r="1718" spans="1:46" s="178" customFormat="1" ht="13.8" thickBot="1" x14ac:dyDescent="0.3">
      <c r="A1718" s="177"/>
      <c r="B1718" s="177"/>
      <c r="C1718" s="306"/>
      <c r="H1718" s="153"/>
      <c r="I1718" s="153"/>
      <c r="J1718" s="153"/>
      <c r="K1718" s="293" t="s">
        <v>386</v>
      </c>
      <c r="L1718" s="181">
        <f t="shared" si="1646"/>
        <v>7625.7699999999995</v>
      </c>
      <c r="M1718" s="181">
        <f t="shared" si="1646"/>
        <v>19269.150000000001</v>
      </c>
      <c r="N1718" s="181">
        <f t="shared" si="1646"/>
        <v>28365</v>
      </c>
      <c r="O1718" s="357">
        <f>O1553+O1558+O1563+O1568+O1573+O1578+O1583+O1588+O1593+O1598+O1603+O1618+O1625</f>
        <v>28253.74</v>
      </c>
      <c r="P1718" s="357">
        <f t="shared" si="1649"/>
        <v>45328.5</v>
      </c>
      <c r="Q1718" s="357">
        <f t="shared" si="1649"/>
        <v>34860.080000000002</v>
      </c>
      <c r="R1718" s="357">
        <f t="shared" si="1649"/>
        <v>40686.479999999996</v>
      </c>
      <c r="S1718" s="357">
        <f t="shared" si="1649"/>
        <v>38895.120000000003</v>
      </c>
      <c r="T1718" s="357">
        <f>T1528+T1553+T1558+T1563+T1568+T1573+T1578+T1583+T1588+T1593+T1598+T1603+T1618+T1625</f>
        <v>37067.01</v>
      </c>
      <c r="U1718" s="181">
        <f>U1528+U1553+U1558+U1563+U1568+U1573+U1578+U1583+U1588+U1593+U1598+U1603+U1618+U1625</f>
        <v>35205.340000000004</v>
      </c>
      <c r="V1718" s="181">
        <f>V1553+V1558+V1563+V1568+V1573+V1578+V1583+V1588+V1593+V1598+V1603+V1618+V1625</f>
        <v>33373.360000000001</v>
      </c>
      <c r="W1718" s="181">
        <f>W1553+W1558+W1563+W1568+W1573+W1578+W1583+W1588+W1593+W1598+W1603+W1618+W1625</f>
        <v>31570.489999999998</v>
      </c>
      <c r="X1718" s="181">
        <f>X1553+X1558+X1563+X1568+X1573+X1578+X1583+X1588+X1593+X1598+X1603+X1618+X1625</f>
        <v>29736.18</v>
      </c>
      <c r="Y1718" s="181">
        <f>Y1558+Y1563+Y1568+Y1573+Y1578+Y1583+Y1588+Y1593+Y1598+Y1603+Y1618+Y1625</f>
        <v>27932.61</v>
      </c>
      <c r="Z1718" s="519">
        <f>Z1568+Z1573+Z1578+Z1583+Z1588+Z1593+Z1598+Z1603+Z1618+Z1625</f>
        <v>26232.93</v>
      </c>
      <c r="AA1718" s="562">
        <f>AA1573+AA1578+AA1588+AA1598+AA1603+AA1618+AA1625</f>
        <v>24676.31</v>
      </c>
      <c r="AB1718" s="181">
        <f>AB1578+AB1588+AB1598+AB1603+AB1618+AB1625</f>
        <v>23239.77</v>
      </c>
      <c r="AC1718" s="181">
        <f>AC1588+AC1598+AC1603+AC1618+AC1625</f>
        <v>21864</v>
      </c>
      <c r="AD1718" s="181">
        <f>AD1588+AD1598+AD1603+AD1618+AD1625</f>
        <v>20508.22</v>
      </c>
      <c r="AE1718" s="181">
        <f>AE1588+AE1598+AE1603+AE1618+AE1625</f>
        <v>19132.03</v>
      </c>
      <c r="AF1718" s="181">
        <f t="shared" ref="AF1718:AQ1718" si="1651">AF1618+AF1625</f>
        <v>17785.93</v>
      </c>
      <c r="AG1718" s="181">
        <f t="shared" si="1651"/>
        <v>16470.439999999999</v>
      </c>
      <c r="AH1718" s="181">
        <f t="shared" si="1651"/>
        <v>15135.12</v>
      </c>
      <c r="AI1718" s="181">
        <f t="shared" si="1651"/>
        <v>13779.5</v>
      </c>
      <c r="AJ1718" s="181">
        <f t="shared" si="1651"/>
        <v>12403.11</v>
      </c>
      <c r="AK1718" s="181">
        <f t="shared" si="1651"/>
        <v>11005.39</v>
      </c>
      <c r="AL1718" s="181">
        <f t="shared" si="1651"/>
        <v>9585.84</v>
      </c>
      <c r="AM1718" s="181">
        <f t="shared" si="1651"/>
        <v>8143.93</v>
      </c>
      <c r="AN1718" s="181">
        <f t="shared" si="1651"/>
        <v>6679.08</v>
      </c>
      <c r="AO1718" s="181">
        <f t="shared" si="1651"/>
        <v>5190.76</v>
      </c>
      <c r="AP1718" s="181">
        <f t="shared" si="1651"/>
        <v>3678.39</v>
      </c>
      <c r="AQ1718" s="181">
        <f t="shared" si="1651"/>
        <v>2141.38</v>
      </c>
      <c r="AR1718" s="181">
        <f>AR1625</f>
        <v>1093.28</v>
      </c>
      <c r="AS1718" s="181">
        <f>AS1625</f>
        <v>546.62</v>
      </c>
      <c r="AT1718" s="178" t="s">
        <v>11</v>
      </c>
    </row>
    <row r="1719" spans="1:46" s="178" customFormat="1" ht="13.8" thickBot="1" x14ac:dyDescent="0.3">
      <c r="A1719" s="177"/>
      <c r="B1719" s="177"/>
      <c r="C1719" s="306"/>
      <c r="H1719" s="266"/>
      <c r="I1719" s="266"/>
      <c r="J1719" s="267" t="s">
        <v>716</v>
      </c>
      <c r="K1719" s="188" t="s">
        <v>6</v>
      </c>
      <c r="L1719" s="255">
        <f t="shared" ref="L1719:P1719" si="1652">L1718+L1717+L1716</f>
        <v>418386.44999999995</v>
      </c>
      <c r="M1719" s="255">
        <f t="shared" si="1652"/>
        <v>685315.91</v>
      </c>
      <c r="N1719" s="255">
        <f t="shared" ref="N1719" si="1653">N1718+N1717+N1716</f>
        <v>990610.26</v>
      </c>
      <c r="O1719" s="357">
        <f t="shared" si="1652"/>
        <v>830421.93</v>
      </c>
      <c r="P1719" s="357">
        <f t="shared" si="1652"/>
        <v>1285076.31</v>
      </c>
      <c r="Q1719" s="181">
        <f t="shared" ref="Q1719:R1719" si="1654">Q1718+Q1717+Q1716</f>
        <v>1268742.68</v>
      </c>
      <c r="R1719" s="181">
        <f t="shared" si="1654"/>
        <v>1285665.76</v>
      </c>
      <c r="S1719" s="181">
        <f t="shared" ref="S1719" si="1655">S1718+S1717+S1716</f>
        <v>1290529.21</v>
      </c>
      <c r="T1719" s="255">
        <f>T1718+T1717+T1716</f>
        <v>1306114.8540000001</v>
      </c>
      <c r="U1719" s="255">
        <f t="shared" ref="U1719:V1719" si="1656">U1718+U1717+U1716</f>
        <v>1307807.2800000003</v>
      </c>
      <c r="V1719" s="255">
        <f t="shared" si="1656"/>
        <v>1263280.2300000002</v>
      </c>
      <c r="W1719" s="255">
        <f t="shared" ref="W1719:X1719" si="1657">W1718+W1717+W1716</f>
        <v>1265750.3999999999</v>
      </c>
      <c r="X1719" s="255">
        <f t="shared" si="1657"/>
        <v>1279283.9200000002</v>
      </c>
      <c r="Y1719" s="255">
        <f>Y1718+Y1717+Y1716</f>
        <v>1209142.1199999999</v>
      </c>
      <c r="Z1719" s="526">
        <f t="shared" ref="Z1719" si="1658">Z1718+Z1717+Z1716</f>
        <v>1136276.8700000001</v>
      </c>
      <c r="AA1719" s="570">
        <f t="shared" ref="AA1719:AB1719" si="1659">AA1718+AA1717+AA1716</f>
        <v>1010809.81</v>
      </c>
      <c r="AB1719" s="255">
        <f t="shared" si="1659"/>
        <v>965603.49</v>
      </c>
      <c r="AC1719" s="255">
        <f t="shared" ref="AC1719:AD1719" si="1660">AC1718+AC1717+AC1716</f>
        <v>922372.41999999993</v>
      </c>
      <c r="AD1719" s="255">
        <f t="shared" si="1660"/>
        <v>933145.7300000001</v>
      </c>
      <c r="AE1719" s="255">
        <f t="shared" ref="AE1719:AF1719" si="1661">AE1718+AE1717+AE1716</f>
        <v>944195.31</v>
      </c>
      <c r="AF1719" s="255">
        <f t="shared" si="1661"/>
        <v>888317.50000000012</v>
      </c>
      <c r="AG1719" s="255">
        <f t="shared" ref="AG1719:AH1719" si="1662">AG1718+AG1717+AG1716</f>
        <v>900048.76</v>
      </c>
      <c r="AH1719" s="255">
        <f t="shared" si="1662"/>
        <v>912077.24</v>
      </c>
      <c r="AI1719" s="255">
        <f t="shared" ref="AI1719:AJ1719" si="1663">AI1718+AI1717+AI1716</f>
        <v>924414.15</v>
      </c>
      <c r="AJ1719" s="255">
        <f t="shared" si="1663"/>
        <v>1008058.5700000001</v>
      </c>
      <c r="AK1719" s="255">
        <f t="shared" ref="AK1719" si="1664">AK1718+AK1717+AK1716</f>
        <v>1046189</v>
      </c>
      <c r="AL1719" s="255">
        <f>AL1718+AL1717+AL1716</f>
        <v>1045699.02</v>
      </c>
      <c r="AM1719" s="255">
        <f>AM1718+AM1717+AM1716</f>
        <v>1045197.03</v>
      </c>
      <c r="AN1719" s="255">
        <f t="shared" ref="AN1719" si="1665">AN1718+AN1717+AN1716</f>
        <v>1044680.1</v>
      </c>
      <c r="AO1719" s="255">
        <f t="shared" ref="AO1719" si="1666">AO1718+AO1717+AO1716</f>
        <v>1044152.13</v>
      </c>
      <c r="AP1719" s="255">
        <f t="shared" ref="AP1719:AQ1719" si="1667">AP1718+AP1717+AP1716</f>
        <v>1043608.7100000001</v>
      </c>
      <c r="AQ1719" s="255">
        <f t="shared" si="1667"/>
        <v>1043050.1799999999</v>
      </c>
      <c r="AR1719" s="255">
        <f t="shared" ref="AR1719:AS1719" si="1668">AR1718+AR1717+AR1716</f>
        <v>365541.83</v>
      </c>
      <c r="AS1719" s="255">
        <f t="shared" si="1668"/>
        <v>364954.91</v>
      </c>
      <c r="AT1719" s="256" t="s">
        <v>11</v>
      </c>
    </row>
    <row r="1720" spans="1:46" s="178" customFormat="1" ht="13.8" thickBot="1" x14ac:dyDescent="0.3">
      <c r="A1720" s="177"/>
      <c r="B1720" s="177"/>
      <c r="C1720" s="306"/>
      <c r="H1720" s="268"/>
      <c r="I1720" s="268"/>
      <c r="J1720" s="268"/>
      <c r="K1720" s="293" t="s">
        <v>5</v>
      </c>
      <c r="L1720" s="258">
        <f t="shared" ref="L1720:P1720" si="1669">L1719+L1715</f>
        <v>1242626.1200000001</v>
      </c>
      <c r="M1720" s="258">
        <f t="shared" si="1669"/>
        <v>1463302.15</v>
      </c>
      <c r="N1720" s="258">
        <f t="shared" ref="N1720" si="1670">N1719+N1715</f>
        <v>1702659.6400000001</v>
      </c>
      <c r="O1720" s="185">
        <f t="shared" si="1669"/>
        <v>1513795.05</v>
      </c>
      <c r="P1720" s="258">
        <f t="shared" si="1669"/>
        <v>2289312.56</v>
      </c>
      <c r="Q1720" s="185">
        <f t="shared" ref="Q1720:R1720" si="1671">Q1719+Q1715</f>
        <v>2259554.21</v>
      </c>
      <c r="R1720" s="185">
        <f t="shared" si="1671"/>
        <v>2217903.2599999998</v>
      </c>
      <c r="S1720" s="185">
        <f t="shared" ref="S1720:T1720" si="1672">S1719+S1715</f>
        <v>2246832.54</v>
      </c>
      <c r="T1720" s="185">
        <f t="shared" si="1672"/>
        <v>2241623.1840000004</v>
      </c>
      <c r="U1720" s="258">
        <f t="shared" ref="U1720:V1720" si="1673">U1719+U1715</f>
        <v>2152616.0300000003</v>
      </c>
      <c r="V1720" s="258">
        <f t="shared" si="1673"/>
        <v>2088976.4800000002</v>
      </c>
      <c r="W1720" s="258">
        <f t="shared" ref="W1720:X1720" si="1674">W1719+W1715</f>
        <v>2050022.9</v>
      </c>
      <c r="X1720" s="258">
        <f t="shared" si="1674"/>
        <v>2398074.34</v>
      </c>
      <c r="Y1720" s="258">
        <f t="shared" ref="Y1720:Z1720" si="1675">Y1719+Y1715</f>
        <v>2274478.37</v>
      </c>
      <c r="Z1720" s="527">
        <f t="shared" si="1675"/>
        <v>2709340.6100000003</v>
      </c>
      <c r="AA1720" s="571">
        <f t="shared" ref="AA1720:AB1720" si="1676">AA1719+AA1715</f>
        <v>2340691.06</v>
      </c>
      <c r="AB1720" s="258">
        <f t="shared" si="1676"/>
        <v>2166719.7400000002</v>
      </c>
      <c r="AC1720" s="258">
        <f t="shared" ref="AC1720:AD1720" si="1677">AC1719+AC1715</f>
        <v>2068573.67</v>
      </c>
      <c r="AD1720" s="258">
        <f t="shared" si="1677"/>
        <v>1999641.98</v>
      </c>
      <c r="AE1720" s="258">
        <f t="shared" ref="AE1720:AF1720" si="1678">AE1719+AE1715</f>
        <v>1859436.56</v>
      </c>
      <c r="AF1720" s="258">
        <f t="shared" si="1678"/>
        <v>1770853.75</v>
      </c>
      <c r="AG1720" s="258">
        <f t="shared" ref="AG1720:AO1720" si="1679">AG1719+AG1715</f>
        <v>1695130.01</v>
      </c>
      <c r="AH1720" s="258">
        <f t="shared" si="1679"/>
        <v>1682803.49</v>
      </c>
      <c r="AI1720" s="258">
        <f t="shared" si="1679"/>
        <v>1611320.4</v>
      </c>
      <c r="AJ1720" s="258">
        <f t="shared" si="1679"/>
        <v>1659564.82</v>
      </c>
      <c r="AK1720" s="258">
        <f t="shared" si="1679"/>
        <v>1679145.25</v>
      </c>
      <c r="AL1720" s="258">
        <f t="shared" si="1679"/>
        <v>1605105.27</v>
      </c>
      <c r="AM1720" s="258">
        <f t="shared" si="1679"/>
        <v>1547753.28</v>
      </c>
      <c r="AN1720" s="258">
        <f t="shared" si="1679"/>
        <v>1446561.35</v>
      </c>
      <c r="AO1720" s="258">
        <f t="shared" si="1679"/>
        <v>1433264.63</v>
      </c>
      <c r="AP1720" s="258">
        <f t="shared" ref="AP1720:AQ1720" si="1680">AP1719+AP1715</f>
        <v>1419952.4700000002</v>
      </c>
      <c r="AQ1720" s="258">
        <f t="shared" si="1680"/>
        <v>1311350.18</v>
      </c>
      <c r="AR1720" s="258">
        <f t="shared" ref="AR1720:AS1720" si="1681">AR1719+AR1715</f>
        <v>578766.83000000007</v>
      </c>
      <c r="AS1720" s="258">
        <f t="shared" si="1681"/>
        <v>479767.41</v>
      </c>
      <c r="AT1720" s="227" t="s">
        <v>11</v>
      </c>
    </row>
    <row r="1721" spans="1:46" ht="13.8" thickTop="1" x14ac:dyDescent="0.25">
      <c r="G1721" s="1"/>
      <c r="H1721" s="370" t="s">
        <v>434</v>
      </c>
      <c r="I1721" s="370"/>
      <c r="J1721" s="371"/>
      <c r="K1721" s="372" t="s">
        <v>718</v>
      </c>
      <c r="L1721" s="181"/>
      <c r="M1721" s="181"/>
      <c r="N1721" s="205"/>
      <c r="O1721" s="205"/>
      <c r="P1721" s="205">
        <v>62788</v>
      </c>
      <c r="Q1721" s="174"/>
      <c r="Z1721" s="490"/>
      <c r="AA1721" s="60"/>
    </row>
    <row r="1722" spans="1:46" ht="13.8" thickBot="1" x14ac:dyDescent="0.3">
      <c r="G1722" s="1"/>
      <c r="H1722" s="373" t="s">
        <v>435</v>
      </c>
      <c r="I1722" s="373"/>
      <c r="J1722" s="374"/>
      <c r="K1722" s="372" t="s">
        <v>718</v>
      </c>
      <c r="L1722" s="280"/>
      <c r="M1722" s="181"/>
      <c r="N1722" s="205"/>
      <c r="O1722" s="359">
        <v>23500</v>
      </c>
      <c r="P1722" s="205"/>
      <c r="Q1722" s="174"/>
      <c r="Z1722" s="490"/>
      <c r="AA1722" s="60"/>
    </row>
    <row r="1723" spans="1:46" ht="13.8" thickBot="1" x14ac:dyDescent="0.3">
      <c r="G1723" s="1"/>
      <c r="H1723" s="375"/>
      <c r="I1723" s="375"/>
      <c r="J1723" s="375"/>
      <c r="K1723" s="376" t="s">
        <v>5</v>
      </c>
      <c r="L1723" s="281"/>
      <c r="M1723" s="281"/>
      <c r="N1723" s="185">
        <f>N1722+N1721+N1720</f>
        <v>1702659.6400000001</v>
      </c>
      <c r="O1723" s="185">
        <f>O1722+O1721+O1720</f>
        <v>1537295.05</v>
      </c>
      <c r="P1723" s="185">
        <f>P1722+P1721+P1720</f>
        <v>2352100.56</v>
      </c>
      <c r="Q1723" s="174"/>
      <c r="Z1723" s="490"/>
      <c r="AA1723" s="60"/>
    </row>
    <row r="1724" spans="1:46" ht="14.4" thickTop="1" thickBot="1" x14ac:dyDescent="0.3">
      <c r="G1724" s="1"/>
      <c r="H1724" s="1"/>
      <c r="I1724" s="3"/>
      <c r="J1724" s="3"/>
      <c r="L1724" s="174"/>
      <c r="M1724" s="174"/>
      <c r="N1724" s="174"/>
      <c r="O1724" s="174"/>
      <c r="P1724" s="174"/>
      <c r="Q1724" s="174"/>
      <c r="Z1724" s="490"/>
      <c r="AA1724" s="60"/>
    </row>
    <row r="1725" spans="1:46" s="178" customFormat="1" ht="13.8" thickBot="1" x14ac:dyDescent="0.3">
      <c r="A1725" s="177"/>
      <c r="B1725" s="177"/>
      <c r="C1725" s="306"/>
      <c r="H1725" s="199"/>
      <c r="I1725" s="199"/>
      <c r="J1725" s="199" t="s">
        <v>7</v>
      </c>
      <c r="K1725" s="294" t="s">
        <v>1</v>
      </c>
      <c r="L1725" s="181">
        <f t="shared" ref="L1725:N1726" si="1682">L30+L109+L167+L273+L395+L459+L562+L668+L832</f>
        <v>662715</v>
      </c>
      <c r="M1725" s="181">
        <f t="shared" si="1682"/>
        <v>626400</v>
      </c>
      <c r="N1725" s="181">
        <f t="shared" si="1682"/>
        <v>635800</v>
      </c>
      <c r="O1725" s="181">
        <f>O30+O109+O273+O395+O459+O562+O668+O832</f>
        <v>591000</v>
      </c>
      <c r="P1725" s="181">
        <f>P30+P109+P273+P395+P459+P562+P668+P832+P1029</f>
        <v>666000</v>
      </c>
      <c r="Q1725" s="181">
        <f>Q30+Q109+Q273+Q395+Q459+Q562+Q668+Q832+Q1029+Q1087</f>
        <v>735000</v>
      </c>
      <c r="R1725" s="181">
        <f>R30+R109+R273+R395+R459+R562+R668+R832+R1029+R1087+R1133</f>
        <v>784000</v>
      </c>
      <c r="S1725" s="181">
        <f>S30+S109+S273+S395+S459+S562+S668+S832+S1029+S1087+S1133+S1197</f>
        <v>845000</v>
      </c>
      <c r="T1725" s="181">
        <f>T30+T109+T395+T459+T562+T668+T832+T1029+T1087+T1133+T1197+T1258</f>
        <v>805000</v>
      </c>
      <c r="U1725" s="181">
        <f>U109+U395+U459+U562+U668+U832+U1029+U1087+U1133+U1197+U1258</f>
        <v>705000</v>
      </c>
      <c r="V1725" s="181">
        <f>V109+V395+V459+V562+V668+V832+V1029+V1087+V1133+V1197+V1258+V1307</f>
        <v>770000</v>
      </c>
      <c r="W1725" s="181">
        <f>W109+W395+W459+W562+W668+W832+W1029+W1087+W1133+W1197+W1258+W1307+W1423</f>
        <v>765000</v>
      </c>
      <c r="X1725" s="181">
        <f>X395+X459+X562+X668+X832+X1029+X1087+X1133+X1197+X1258+X1307+X1383+X1423</f>
        <v>970000</v>
      </c>
      <c r="Y1725" s="181">
        <f>Y395+Y459+Y562+Y668+Y832+Y1029+Y1087+Y1133+Y1197+Y1258+Y1307+Y1383+Y1423+Y1509</f>
        <v>955000</v>
      </c>
      <c r="Z1725" s="519">
        <f>Z395+Z459+Z562+Z668+Z832+Z1029+Z1087+Z1133+Z1197+Z1258+Z1307+Z1383+Z1423+Z1472+Z1509</f>
        <v>1090000</v>
      </c>
      <c r="AA1725" s="562">
        <f>AA395+AA459+AA562+AA832+AA1029+AA1087+AA1133+AA1197+AA1258+AA1307+AA1383+AA1423+AA1472+AA1509</f>
        <v>1035000</v>
      </c>
      <c r="AB1725" s="181">
        <f>AB459+AB562+AB832+AB1029+AB1087+AB1133+AB1197+AB1258+AB1307+AB1383+AB1423+AB1472+AB1509</f>
        <v>930000</v>
      </c>
      <c r="AC1725" s="181">
        <f>AC562+AC1029+AC1087+AC1133+AC1197+AC1258+AC1307+AC1383+AC1423+AC1472+AC1509</f>
        <v>760000</v>
      </c>
      <c r="AD1725" s="181">
        <f>AD1029+AD1087+AD1133+AD1197+AD1258+AD1307+AD1383+AD1423+AD1472+AD1509</f>
        <v>685000</v>
      </c>
      <c r="AE1725" s="181">
        <f>AE1087+AE1133+AE1197+AE1258+AE1307+AE1383+AE1423+AE1472+AE1509</f>
        <v>575000</v>
      </c>
      <c r="AF1725" s="181">
        <f>AF1087+AF1133+AF1197+AF1258+AF1307+AF1383+AF1423+AF1472+AF1509</f>
        <v>540000</v>
      </c>
      <c r="AG1725" s="181">
        <f t="shared" ref="AG1725:AL1726" si="1683">AG1197+AG1258+AG1307+AG1383+AG1423+AG1472+AG1509</f>
        <v>395000</v>
      </c>
      <c r="AH1725" s="181">
        <f t="shared" si="1683"/>
        <v>395000</v>
      </c>
      <c r="AI1725" s="181">
        <f t="shared" si="1683"/>
        <v>395000</v>
      </c>
      <c r="AJ1725" s="181">
        <f t="shared" si="1683"/>
        <v>395000</v>
      </c>
      <c r="AK1725" s="181">
        <f t="shared" si="1683"/>
        <v>395000</v>
      </c>
      <c r="AL1725" s="181">
        <f t="shared" si="1683"/>
        <v>395000</v>
      </c>
      <c r="AM1725" s="181">
        <f>AM1258+AM1307+AM1383+AM1423+AM1472+AM1509</f>
        <v>290000</v>
      </c>
      <c r="AN1725" s="181">
        <f>AN1307+AN1383+AN1423+AN1472+AN1509</f>
        <v>230000</v>
      </c>
      <c r="AO1725" s="181">
        <f>AO1307+AO1383+AO1423+AO1472+AO1509</f>
        <v>230000</v>
      </c>
      <c r="AP1725" s="181">
        <f>AP1383+AP1423+AP1472+AP1509</f>
        <v>155000</v>
      </c>
      <c r="AQ1725" s="181">
        <f>AQ1423+AQ1472+AQ1509</f>
        <v>125000</v>
      </c>
      <c r="AR1725" s="181">
        <f>AR1472+AR1509</f>
        <v>70000</v>
      </c>
      <c r="AS1725" s="181">
        <f>AS1509</f>
        <v>15000</v>
      </c>
      <c r="AT1725" s="178" t="s">
        <v>11</v>
      </c>
    </row>
    <row r="1726" spans="1:46" s="178" customFormat="1" ht="13.8" thickBot="1" x14ac:dyDescent="0.3">
      <c r="A1726" s="177"/>
      <c r="B1726" s="177"/>
      <c r="C1726" s="306"/>
      <c r="H1726" s="201" t="s">
        <v>546</v>
      </c>
      <c r="I1726" s="201"/>
      <c r="J1726" s="201"/>
      <c r="K1726" s="294" t="s">
        <v>2</v>
      </c>
      <c r="L1726" s="181">
        <f t="shared" si="1682"/>
        <v>237707.3</v>
      </c>
      <c r="M1726" s="181">
        <f t="shared" si="1682"/>
        <v>212671.88</v>
      </c>
      <c r="N1726" s="181">
        <f t="shared" si="1682"/>
        <v>200371.87</v>
      </c>
      <c r="O1726" s="357">
        <f>O31+O110+O274+O396+O460+O563+O669+O833</f>
        <v>177160</v>
      </c>
      <c r="P1726" s="357">
        <f>P31+P110+P274+P396+P460+P563+P669+P833+P1030</f>
        <v>182642.5</v>
      </c>
      <c r="Q1726" s="357">
        <f>Q31+Q110+Q274+Q396+Q460+Q563+Q669+Q833+Q1030+Q1088</f>
        <v>201264.72</v>
      </c>
      <c r="R1726" s="357">
        <f>R31+R110+R274+R396+R460+R563+R669+R833+R1030+R1088+R1134</f>
        <v>197452.41999999998</v>
      </c>
      <c r="S1726" s="357">
        <f>S31+S110+S274+S396+S460+S563+S669+S833+S1030+S1088+S1134+S1198</f>
        <v>252286.04</v>
      </c>
      <c r="T1726" s="357">
        <f>T31+T110+T396+T460+T563+T669+T833+T1030+T1088+T1134+T1198+T1259</f>
        <v>267998.33</v>
      </c>
      <c r="U1726" s="181">
        <f>U110+U396+U460+U563+U669+U833+U1030+U1088+U1134+U1198+U1259</f>
        <v>238195</v>
      </c>
      <c r="V1726" s="181">
        <f>V110+V396+V460+V563+V669+V833+V1030+V1088+V1134+V1198+V1259+V1308</f>
        <v>271240</v>
      </c>
      <c r="W1726" s="181">
        <f>W110+W396+W460+W563+W669+W833+W1030+W1088+W1134+W1198+W1259+W1308+W1424</f>
        <v>238660</v>
      </c>
      <c r="X1726" s="181">
        <f>X396+X460+X563+X669+X833+X1030+X1088+X1134+X1198+X1259+X1308+X1384+X1424</f>
        <v>309164.79999999999</v>
      </c>
      <c r="Y1726" s="181">
        <f>Y396+Y460+Y563+Y669+Y833+Y1030+Y1088+Y1134+Y1198+Y1259+Y1308+Y1384+Y1424+Y1510</f>
        <v>269516.87</v>
      </c>
      <c r="Z1726" s="519">
        <f>Z396+Z460+Z563+Z669+Z833+Z1030+Z1088+Z1134+Z1198+Z1259+Z1308+Z1384+Z1424+Z1473+Z1510</f>
        <v>327160.09999999998</v>
      </c>
      <c r="AA1726" s="562">
        <f>AA396+AA460+AA563+AA833+AA1030+AA1088+AA1134+AA1198+AA1259+AA1308+AA1384+AA1424+AA1473+AA1510</f>
        <v>281120.63</v>
      </c>
      <c r="AB1726" s="181">
        <f>AB460+AB563+AB833+AB1030+AB1088+AB1134+AB1198+AB1259+AB1308+AB1384+AB1424+AB1473+AB1510</f>
        <v>238811.87</v>
      </c>
      <c r="AC1726" s="181">
        <f>AC563+AC1030+AC1088+AC1134+AC1198+AC1259+AC1308+AC1384+AC1424+AC1473+AC1510</f>
        <v>206275</v>
      </c>
      <c r="AD1726" s="181">
        <f>AD1030+AD1088+AD1134+AD1198+AD1259+AD1308+AD1384+AD1424+AD1473+AD1510</f>
        <v>177625</v>
      </c>
      <c r="AE1726" s="181">
        <f>AE1088+AE1134+AE1198+AE1259+AE1308+AE1384+AE1424+AE1473+AE1510</f>
        <v>154912.5</v>
      </c>
      <c r="AF1726" s="181">
        <f>AF1088+AF1134+AF1198+AF1259+AF1308+AF1384+AF1424+AF1473+AF1510</f>
        <v>135900</v>
      </c>
      <c r="AG1726" s="181">
        <f t="shared" si="1683"/>
        <v>117587.5</v>
      </c>
      <c r="AH1726" s="181">
        <f t="shared" si="1683"/>
        <v>103575</v>
      </c>
      <c r="AI1726" s="181">
        <f t="shared" si="1683"/>
        <v>90012.5</v>
      </c>
      <c r="AJ1726" s="181">
        <f t="shared" si="1683"/>
        <v>77100</v>
      </c>
      <c r="AK1726" s="181">
        <f t="shared" si="1683"/>
        <v>64387.5</v>
      </c>
      <c r="AL1726" s="181">
        <f t="shared" si="1683"/>
        <v>51675</v>
      </c>
      <c r="AM1726" s="181">
        <f>AM1259+AM1308+AM1384+AM1424+AM1473+AM1510</f>
        <v>38962.5</v>
      </c>
      <c r="AN1726" s="181">
        <f>AN1308+AN1384+AN1424+AN1473+AN1510</f>
        <v>29625</v>
      </c>
      <c r="AO1726" s="181">
        <f>AO1308+AO1384+AO1424+AO1473+AO1510</f>
        <v>22087.5</v>
      </c>
      <c r="AP1726" s="181">
        <f>AP1384+AP1424+AP1473+AP1510</f>
        <v>14550</v>
      </c>
      <c r="AQ1726" s="181">
        <f>AQ1424+AQ1473+AQ1510</f>
        <v>8562.5</v>
      </c>
      <c r="AR1726" s="181">
        <f>AR1473+AR1510</f>
        <v>3512.5</v>
      </c>
      <c r="AS1726" s="181">
        <f>AS1510</f>
        <v>656.26</v>
      </c>
      <c r="AT1726" s="178" t="s">
        <v>11</v>
      </c>
    </row>
    <row r="1727" spans="1:46" s="178" customFormat="1" ht="13.8" thickBot="1" x14ac:dyDescent="0.3">
      <c r="A1727" s="177"/>
      <c r="B1727" s="177"/>
      <c r="C1727" s="306"/>
      <c r="H1727" s="270"/>
      <c r="I1727" s="270"/>
      <c r="J1727" s="271" t="s">
        <v>415</v>
      </c>
      <c r="K1727" s="200" t="s">
        <v>6</v>
      </c>
      <c r="L1727" s="255">
        <f t="shared" ref="L1727:O1727" si="1684">L1726+L1725</f>
        <v>900422.3</v>
      </c>
      <c r="M1727" s="255">
        <f t="shared" si="1684"/>
        <v>839071.88</v>
      </c>
      <c r="N1727" s="255">
        <f t="shared" ref="N1727" si="1685">N1726+N1725</f>
        <v>836171.87</v>
      </c>
      <c r="O1727" s="357">
        <f t="shared" si="1684"/>
        <v>768160</v>
      </c>
      <c r="P1727" s="357">
        <f t="shared" ref="P1727:X1727" si="1686">P1726+P1725</f>
        <v>848642.5</v>
      </c>
      <c r="Q1727" s="181">
        <f t="shared" si="1686"/>
        <v>936264.72</v>
      </c>
      <c r="R1727" s="181">
        <f t="shared" si="1686"/>
        <v>981452.41999999993</v>
      </c>
      <c r="S1727" s="181">
        <f t="shared" si="1686"/>
        <v>1097286.04</v>
      </c>
      <c r="T1727" s="255">
        <f t="shared" si="1686"/>
        <v>1072998.33</v>
      </c>
      <c r="U1727" s="255">
        <f t="shared" si="1686"/>
        <v>943195</v>
      </c>
      <c r="V1727" s="255">
        <f t="shared" si="1686"/>
        <v>1041240</v>
      </c>
      <c r="W1727" s="255">
        <f t="shared" si="1686"/>
        <v>1003660</v>
      </c>
      <c r="X1727" s="255">
        <f t="shared" si="1686"/>
        <v>1279164.8</v>
      </c>
      <c r="Y1727" s="255">
        <f t="shared" ref="Y1727:Z1727" si="1687">Y1726+Y1725</f>
        <v>1224516.8700000001</v>
      </c>
      <c r="Z1727" s="526">
        <f t="shared" si="1687"/>
        <v>1417160.1</v>
      </c>
      <c r="AA1727" s="570">
        <f t="shared" ref="AA1727:AB1727" si="1688">AA1726+AA1725</f>
        <v>1316120.6299999999</v>
      </c>
      <c r="AB1727" s="255">
        <f t="shared" si="1688"/>
        <v>1168811.8700000001</v>
      </c>
      <c r="AC1727" s="255">
        <f t="shared" ref="AC1727" si="1689">AC1726+AC1725</f>
        <v>966275</v>
      </c>
      <c r="AD1727" s="255">
        <f t="shared" ref="AD1727:AI1727" si="1690">AD1726+AD1725</f>
        <v>862625</v>
      </c>
      <c r="AE1727" s="255">
        <f t="shared" si="1690"/>
        <v>729912.5</v>
      </c>
      <c r="AF1727" s="255">
        <f t="shared" si="1690"/>
        <v>675900</v>
      </c>
      <c r="AG1727" s="255">
        <f t="shared" si="1690"/>
        <v>512587.5</v>
      </c>
      <c r="AH1727" s="255">
        <f t="shared" si="1690"/>
        <v>498575</v>
      </c>
      <c r="AI1727" s="255">
        <f t="shared" si="1690"/>
        <v>485012.5</v>
      </c>
      <c r="AJ1727" s="255">
        <f t="shared" ref="AJ1727:AL1727" si="1691">AJ1726+AJ1725</f>
        <v>472100</v>
      </c>
      <c r="AK1727" s="255">
        <f t="shared" si="1691"/>
        <v>459387.5</v>
      </c>
      <c r="AL1727" s="255">
        <f t="shared" si="1691"/>
        <v>446675</v>
      </c>
      <c r="AM1727" s="255">
        <f t="shared" ref="AM1727" si="1692">AM1726+AM1725</f>
        <v>328962.5</v>
      </c>
      <c r="AN1727" s="255">
        <f t="shared" ref="AN1727:AO1727" si="1693">AN1726+AN1725</f>
        <v>259625</v>
      </c>
      <c r="AO1727" s="255">
        <f t="shared" si="1693"/>
        <v>252087.5</v>
      </c>
      <c r="AP1727" s="255">
        <f t="shared" ref="AP1727:AQ1727" si="1694">AP1726+AP1725</f>
        <v>169550</v>
      </c>
      <c r="AQ1727" s="255">
        <f t="shared" si="1694"/>
        <v>133562.5</v>
      </c>
      <c r="AR1727" s="255">
        <f t="shared" ref="AR1727:AS1727" si="1695">AR1726+AR1725</f>
        <v>73512.5</v>
      </c>
      <c r="AS1727" s="255">
        <f t="shared" si="1695"/>
        <v>15656.26</v>
      </c>
      <c r="AT1727" s="256" t="s">
        <v>11</v>
      </c>
    </row>
    <row r="1728" spans="1:46" s="178" customFormat="1" ht="13.8" thickBot="1" x14ac:dyDescent="0.3">
      <c r="A1728" s="177"/>
      <c r="B1728" s="177"/>
      <c r="C1728" s="306"/>
      <c r="H1728" s="199"/>
      <c r="I1728" s="199"/>
      <c r="J1728" s="199"/>
      <c r="K1728" s="294" t="s">
        <v>1</v>
      </c>
      <c r="L1728" s="181">
        <f t="shared" ref="L1728:U1728" si="1696">L1531+L1536</f>
        <v>137781.97</v>
      </c>
      <c r="M1728" s="181">
        <f t="shared" si="1696"/>
        <v>142762.97999999998</v>
      </c>
      <c r="N1728" s="181">
        <f t="shared" si="1696"/>
        <v>151532.91</v>
      </c>
      <c r="O1728" s="181">
        <f t="shared" si="1696"/>
        <v>152884.68</v>
      </c>
      <c r="P1728" s="181">
        <f t="shared" si="1696"/>
        <v>161902.01</v>
      </c>
      <c r="Q1728" s="358">
        <f t="shared" si="1696"/>
        <v>169482.73</v>
      </c>
      <c r="R1728" s="358">
        <f t="shared" si="1696"/>
        <v>177183.66999999998</v>
      </c>
      <c r="S1728" s="358">
        <f t="shared" si="1696"/>
        <v>183745.51</v>
      </c>
      <c r="T1728" s="358">
        <f t="shared" si="1696"/>
        <v>189517.56</v>
      </c>
      <c r="U1728" s="181">
        <f t="shared" si="1696"/>
        <v>190229.56</v>
      </c>
      <c r="V1728" s="178" t="s">
        <v>11</v>
      </c>
      <c r="W1728" s="181"/>
      <c r="X1728" s="181"/>
      <c r="Y1728" s="181">
        <f t="shared" ref="Y1728" si="1697">Y1635</f>
        <v>0</v>
      </c>
      <c r="Z1728" s="519">
        <f>Z1630+Z1635</f>
        <v>328285</v>
      </c>
      <c r="AA1728" s="562">
        <f>AA1630+AA1635</f>
        <v>328777</v>
      </c>
      <c r="AB1728" s="181">
        <f t="shared" ref="AB1728:AD1728" si="1698">AB1630+AB1635</f>
        <v>329271</v>
      </c>
      <c r="AC1728" s="181">
        <f t="shared" si="1698"/>
        <v>329766</v>
      </c>
      <c r="AD1728" s="181">
        <f t="shared" si="1698"/>
        <v>330260</v>
      </c>
      <c r="AE1728" s="181">
        <f t="shared" ref="AE1728:AH1728" si="1699">AE1630+AE1635</f>
        <v>330757</v>
      </c>
      <c r="AF1728" s="181">
        <f t="shared" si="1699"/>
        <v>331253</v>
      </c>
      <c r="AG1728" s="181">
        <f t="shared" si="1699"/>
        <v>331750</v>
      </c>
      <c r="AH1728" s="181">
        <f t="shared" si="1699"/>
        <v>332249</v>
      </c>
      <c r="AI1728" s="181">
        <f t="shared" ref="AI1728:AN1728" si="1700">AI1630+AI1635</f>
        <v>332747</v>
      </c>
      <c r="AJ1728" s="181">
        <f t="shared" si="1700"/>
        <v>333247</v>
      </c>
      <c r="AK1728" s="181">
        <f t="shared" si="1700"/>
        <v>333746</v>
      </c>
      <c r="AL1728" s="181">
        <f t="shared" si="1700"/>
        <v>334248</v>
      </c>
      <c r="AM1728" s="181">
        <f t="shared" si="1700"/>
        <v>334749</v>
      </c>
      <c r="AN1728" s="181">
        <f t="shared" si="1700"/>
        <v>335252</v>
      </c>
      <c r="AO1728" s="181">
        <f t="shared" ref="AO1728:AR1728" si="1701">AO1630+AO1635</f>
        <v>335755</v>
      </c>
      <c r="AP1728" s="181">
        <f t="shared" si="1701"/>
        <v>336259</v>
      </c>
      <c r="AQ1728" s="181">
        <f t="shared" si="1701"/>
        <v>336764</v>
      </c>
      <c r="AR1728" s="181">
        <f t="shared" si="1701"/>
        <v>337269</v>
      </c>
      <c r="AS1728" s="181">
        <f>AS1635</f>
        <v>179995</v>
      </c>
      <c r="AT1728" s="178" t="s">
        <v>11</v>
      </c>
    </row>
    <row r="1729" spans="1:46" s="178" customFormat="1" ht="13.8" thickBot="1" x14ac:dyDescent="0.3">
      <c r="A1729" s="177"/>
      <c r="B1729" s="177"/>
      <c r="C1729" s="306"/>
      <c r="H1729" s="201"/>
      <c r="I1729" s="201"/>
      <c r="J1729" s="201"/>
      <c r="K1729" s="294" t="s">
        <v>2</v>
      </c>
      <c r="L1729" s="181">
        <f t="shared" ref="L1729:U1729" si="1702">L1532+L1537</f>
        <v>45629.41</v>
      </c>
      <c r="M1729" s="181">
        <f t="shared" si="1702"/>
        <v>38790.28</v>
      </c>
      <c r="N1729" s="181">
        <f t="shared" si="1702"/>
        <v>31766.440000000002</v>
      </c>
      <c r="O1729" s="181">
        <f t="shared" si="1702"/>
        <v>27779.39</v>
      </c>
      <c r="P1729" s="181">
        <f t="shared" si="1702"/>
        <v>21490.480000000003</v>
      </c>
      <c r="Q1729" s="181">
        <f t="shared" si="1702"/>
        <v>15796.86</v>
      </c>
      <c r="R1729" s="181">
        <f t="shared" si="1702"/>
        <v>9267.83</v>
      </c>
      <c r="S1729" s="181">
        <f t="shared" si="1702"/>
        <v>4114.97</v>
      </c>
      <c r="T1729" s="181">
        <f t="shared" si="1702"/>
        <v>314.77</v>
      </c>
      <c r="U1729" s="181">
        <f t="shared" si="1702"/>
        <v>0</v>
      </c>
      <c r="V1729" s="178" t="s">
        <v>11</v>
      </c>
      <c r="W1729" s="181"/>
      <c r="X1729" s="181"/>
      <c r="Y1729" s="181">
        <f t="shared" ref="Y1729:Z1729" si="1703">+Y1636</f>
        <v>0</v>
      </c>
      <c r="Z1729" s="519">
        <f t="shared" si="1703"/>
        <v>0</v>
      </c>
      <c r="AA1729" s="562">
        <f t="shared" ref="AA1729:AD1729" si="1704">+AA1636</f>
        <v>0</v>
      </c>
      <c r="AB1729" s="181">
        <f t="shared" si="1704"/>
        <v>0</v>
      </c>
      <c r="AC1729" s="181">
        <f t="shared" si="1704"/>
        <v>0</v>
      </c>
      <c r="AD1729" s="181">
        <f t="shared" si="1704"/>
        <v>0</v>
      </c>
      <c r="AE1729" s="181">
        <f t="shared" ref="AE1729:AH1729" si="1705">+AE1636</f>
        <v>0</v>
      </c>
      <c r="AF1729" s="181">
        <f t="shared" si="1705"/>
        <v>0</v>
      </c>
      <c r="AG1729" s="181">
        <f t="shared" si="1705"/>
        <v>0</v>
      </c>
      <c r="AH1729" s="181">
        <f t="shared" si="1705"/>
        <v>0</v>
      </c>
      <c r="AI1729" s="181">
        <f t="shared" ref="AI1729:AN1729" si="1706">+AI1636</f>
        <v>0</v>
      </c>
      <c r="AJ1729" s="181">
        <f t="shared" si="1706"/>
        <v>0</v>
      </c>
      <c r="AK1729" s="181">
        <f t="shared" si="1706"/>
        <v>0</v>
      </c>
      <c r="AL1729" s="181">
        <f t="shared" si="1706"/>
        <v>0</v>
      </c>
      <c r="AM1729" s="181">
        <f t="shared" si="1706"/>
        <v>0</v>
      </c>
      <c r="AN1729" s="181">
        <f t="shared" si="1706"/>
        <v>0</v>
      </c>
      <c r="AO1729" s="181">
        <f t="shared" ref="AO1729:AS1729" si="1707">+AO1636</f>
        <v>0</v>
      </c>
      <c r="AP1729" s="181">
        <f t="shared" si="1707"/>
        <v>0</v>
      </c>
      <c r="AQ1729" s="181">
        <f t="shared" si="1707"/>
        <v>0</v>
      </c>
      <c r="AR1729" s="181">
        <f t="shared" si="1707"/>
        <v>0</v>
      </c>
      <c r="AS1729" s="181">
        <f t="shared" si="1707"/>
        <v>0</v>
      </c>
      <c r="AT1729" s="178" t="s">
        <v>11</v>
      </c>
    </row>
    <row r="1730" spans="1:46" s="178" customFormat="1" ht="13.8" thickBot="1" x14ac:dyDescent="0.3">
      <c r="A1730" s="177"/>
      <c r="B1730" s="177"/>
      <c r="C1730" s="306"/>
      <c r="H1730" s="201"/>
      <c r="I1730" s="201"/>
      <c r="J1730" s="201"/>
      <c r="K1730" s="294" t="s">
        <v>386</v>
      </c>
      <c r="L1730" s="181">
        <f t="shared" ref="L1730:U1730" si="1708">L1533+L1538</f>
        <v>3487.5</v>
      </c>
      <c r="M1730" s="181">
        <f t="shared" si="1708"/>
        <v>3172.5</v>
      </c>
      <c r="N1730" s="181">
        <f t="shared" si="1708"/>
        <v>2754.3</v>
      </c>
      <c r="O1730" s="357">
        <f t="shared" si="1708"/>
        <v>2512.5</v>
      </c>
      <c r="P1730" s="357">
        <f t="shared" si="1708"/>
        <v>2167.5</v>
      </c>
      <c r="Q1730" s="357">
        <f t="shared" si="1708"/>
        <v>1811.25</v>
      </c>
      <c r="R1730" s="357">
        <f t="shared" si="1708"/>
        <v>1436.25</v>
      </c>
      <c r="S1730" s="357">
        <f t="shared" si="1708"/>
        <v>1046.25</v>
      </c>
      <c r="T1730" s="357">
        <f t="shared" si="1708"/>
        <v>641.25</v>
      </c>
      <c r="U1730" s="181">
        <f t="shared" si="1708"/>
        <v>225</v>
      </c>
      <c r="V1730" s="178" t="s">
        <v>11</v>
      </c>
      <c r="W1730" s="181"/>
      <c r="X1730" s="181"/>
      <c r="Y1730" s="181">
        <f t="shared" ref="Y1730" si="1709">Y1637</f>
        <v>0</v>
      </c>
      <c r="Z1730" s="519">
        <f>Z1632+Z1637</f>
        <v>9443.0600000000013</v>
      </c>
      <c r="AA1730" s="562">
        <f>AA1632+AA1637</f>
        <v>9261.16</v>
      </c>
      <c r="AB1730" s="181">
        <f t="shared" ref="AB1730:AD1730" si="1710">AB1632+AB1637</f>
        <v>8768</v>
      </c>
      <c r="AC1730" s="181">
        <f t="shared" si="1710"/>
        <v>8274.1</v>
      </c>
      <c r="AD1730" s="181">
        <f t="shared" si="1710"/>
        <v>7779.46</v>
      </c>
      <c r="AE1730" s="181">
        <f t="shared" ref="AE1730:AH1730" si="1711">AE1632+AE1637</f>
        <v>7284.0599999999995</v>
      </c>
      <c r="AF1730" s="181">
        <f t="shared" si="1711"/>
        <v>6787.92</v>
      </c>
      <c r="AG1730" s="181">
        <f t="shared" si="1711"/>
        <v>6291.0599999999995</v>
      </c>
      <c r="AH1730" s="181">
        <f t="shared" si="1711"/>
        <v>5793.42</v>
      </c>
      <c r="AI1730" s="181">
        <f t="shared" ref="AI1730:AN1730" si="1712">AI1632+AI1637</f>
        <v>5295.0400000000009</v>
      </c>
      <c r="AJ1730" s="181">
        <f t="shared" si="1712"/>
        <v>4795.92</v>
      </c>
      <c r="AK1730" s="181">
        <f t="shared" si="1712"/>
        <v>4296.0600000000004</v>
      </c>
      <c r="AL1730" s="181">
        <f t="shared" si="1712"/>
        <v>3795.4399999999996</v>
      </c>
      <c r="AM1730" s="181">
        <f t="shared" si="1712"/>
        <v>3294.06</v>
      </c>
      <c r="AN1730" s="181">
        <f t="shared" si="1712"/>
        <v>2791.94</v>
      </c>
      <c r="AO1730" s="181">
        <f t="shared" ref="AO1730:AR1730" si="1713">AO1632+AO1637</f>
        <v>2289.06</v>
      </c>
      <c r="AP1730" s="181">
        <f t="shared" si="1713"/>
        <v>1785.42</v>
      </c>
      <c r="AQ1730" s="181">
        <f t="shared" si="1713"/>
        <v>1281.04</v>
      </c>
      <c r="AR1730" s="181">
        <f t="shared" si="1713"/>
        <v>775.90000000000009</v>
      </c>
      <c r="AS1730" s="181">
        <f>AS1637</f>
        <v>270</v>
      </c>
      <c r="AT1730" s="178" t="s">
        <v>11</v>
      </c>
    </row>
    <row r="1731" spans="1:46" s="178" customFormat="1" ht="13.8" thickBot="1" x14ac:dyDescent="0.3">
      <c r="A1731" s="177"/>
      <c r="B1731" s="177"/>
      <c r="C1731" s="306"/>
      <c r="H1731" s="270"/>
      <c r="I1731" s="270"/>
      <c r="J1731" s="271" t="s">
        <v>716</v>
      </c>
      <c r="K1731" s="200" t="s">
        <v>6</v>
      </c>
      <c r="L1731" s="255">
        <f t="shared" ref="L1731:P1731" si="1714">L1730+L1729+L1728</f>
        <v>186898.88</v>
      </c>
      <c r="M1731" s="255">
        <f t="shared" si="1714"/>
        <v>184725.75999999998</v>
      </c>
      <c r="N1731" s="255">
        <f t="shared" ref="N1731" si="1715">N1730+N1729+N1728</f>
        <v>186053.65000000002</v>
      </c>
      <c r="O1731" s="357">
        <f t="shared" si="1714"/>
        <v>183176.57</v>
      </c>
      <c r="P1731" s="357">
        <f t="shared" si="1714"/>
        <v>185559.99000000002</v>
      </c>
      <c r="Q1731" s="181">
        <f t="shared" ref="Q1731:R1731" si="1716">Q1730+Q1729+Q1728</f>
        <v>187090.84000000003</v>
      </c>
      <c r="R1731" s="181">
        <f t="shared" si="1716"/>
        <v>187887.74999999997</v>
      </c>
      <c r="S1731" s="181">
        <f t="shared" ref="S1731:T1731" si="1717">S1730+S1729+S1728</f>
        <v>188906.73</v>
      </c>
      <c r="T1731" s="255">
        <f t="shared" si="1717"/>
        <v>190473.58</v>
      </c>
      <c r="U1731" s="255">
        <f>U1730+U1729+U1728</f>
        <v>190454.56</v>
      </c>
      <c r="V1731" s="256" t="s">
        <v>11</v>
      </c>
      <c r="W1731" s="255"/>
      <c r="X1731" s="255"/>
      <c r="Y1731" s="255">
        <f t="shared" ref="Y1731:AQ1731" si="1718">Y1730+Y1729+Y1728</f>
        <v>0</v>
      </c>
      <c r="Z1731" s="526">
        <f t="shared" si="1718"/>
        <v>337728.06</v>
      </c>
      <c r="AA1731" s="570">
        <f t="shared" si="1718"/>
        <v>338038.16</v>
      </c>
      <c r="AB1731" s="255">
        <f t="shared" si="1718"/>
        <v>338039</v>
      </c>
      <c r="AC1731" s="255">
        <f t="shared" si="1718"/>
        <v>338040.1</v>
      </c>
      <c r="AD1731" s="255">
        <f t="shared" si="1718"/>
        <v>338039.46</v>
      </c>
      <c r="AE1731" s="255">
        <f t="shared" si="1718"/>
        <v>338041.06</v>
      </c>
      <c r="AF1731" s="255">
        <f t="shared" si="1718"/>
        <v>338040.92</v>
      </c>
      <c r="AG1731" s="255">
        <f t="shared" si="1718"/>
        <v>338041.06</v>
      </c>
      <c r="AH1731" s="255">
        <f t="shared" si="1718"/>
        <v>338042.42</v>
      </c>
      <c r="AI1731" s="255">
        <f t="shared" si="1718"/>
        <v>338042.04</v>
      </c>
      <c r="AJ1731" s="255">
        <f t="shared" si="1718"/>
        <v>338042.92</v>
      </c>
      <c r="AK1731" s="255">
        <f t="shared" si="1718"/>
        <v>338042.06</v>
      </c>
      <c r="AL1731" s="255">
        <f t="shared" si="1718"/>
        <v>338043.44</v>
      </c>
      <c r="AM1731" s="255">
        <f t="shared" si="1718"/>
        <v>338043.06</v>
      </c>
      <c r="AN1731" s="255">
        <f t="shared" si="1718"/>
        <v>338043.94</v>
      </c>
      <c r="AO1731" s="255">
        <f t="shared" si="1718"/>
        <v>338044.06</v>
      </c>
      <c r="AP1731" s="255">
        <f t="shared" si="1718"/>
        <v>338044.42</v>
      </c>
      <c r="AQ1731" s="255">
        <f t="shared" si="1718"/>
        <v>338045.04</v>
      </c>
      <c r="AR1731" s="255">
        <f t="shared" ref="AR1731:AS1731" si="1719">AR1730+AR1729+AR1728</f>
        <v>338044.9</v>
      </c>
      <c r="AS1731" s="255">
        <f t="shared" si="1719"/>
        <v>180265</v>
      </c>
      <c r="AT1731" s="256" t="s">
        <v>11</v>
      </c>
    </row>
    <row r="1732" spans="1:46" s="178" customFormat="1" ht="13.8" thickBot="1" x14ac:dyDescent="0.3">
      <c r="A1732" s="177"/>
      <c r="B1732" s="177"/>
      <c r="C1732" s="306"/>
      <c r="H1732" s="269"/>
      <c r="I1732" s="269"/>
      <c r="J1732" s="269"/>
      <c r="K1732" s="294" t="s">
        <v>5</v>
      </c>
      <c r="L1732" s="258">
        <f t="shared" ref="L1732:O1732" si="1720">L1731+L1727</f>
        <v>1087321.1800000002</v>
      </c>
      <c r="M1732" s="258">
        <f t="shared" si="1720"/>
        <v>1023797.64</v>
      </c>
      <c r="N1732" s="258">
        <f t="shared" ref="N1732" si="1721">N1731+N1727</f>
        <v>1022225.52</v>
      </c>
      <c r="O1732" s="185">
        <f t="shared" si="1720"/>
        <v>951336.57000000007</v>
      </c>
      <c r="P1732" s="185">
        <f t="shared" ref="P1732:U1732" si="1722">P1731+P1727</f>
        <v>1034202.49</v>
      </c>
      <c r="Q1732" s="185">
        <f t="shared" si="1722"/>
        <v>1123355.56</v>
      </c>
      <c r="R1732" s="185">
        <f t="shared" si="1722"/>
        <v>1169340.17</v>
      </c>
      <c r="S1732" s="185">
        <f t="shared" si="1722"/>
        <v>1286192.77</v>
      </c>
      <c r="T1732" s="185">
        <f t="shared" si="1722"/>
        <v>1263471.9100000001</v>
      </c>
      <c r="U1732" s="258">
        <f t="shared" si="1722"/>
        <v>1133649.56</v>
      </c>
      <c r="V1732" s="258">
        <f>V1727</f>
        <v>1041240</v>
      </c>
      <c r="W1732" s="258">
        <f>W1727</f>
        <v>1003660</v>
      </c>
      <c r="X1732" s="258">
        <f t="shared" ref="X1732" si="1723">X1727</f>
        <v>1279164.8</v>
      </c>
      <c r="Y1732" s="258">
        <f>Y1727+Y1731</f>
        <v>1224516.8700000001</v>
      </c>
      <c r="Z1732" s="527">
        <f t="shared" ref="Z1732:AQ1732" si="1724">Z1727+Z1731</f>
        <v>1754888.1600000001</v>
      </c>
      <c r="AA1732" s="571">
        <f t="shared" si="1724"/>
        <v>1654158.7899999998</v>
      </c>
      <c r="AB1732" s="258">
        <f t="shared" si="1724"/>
        <v>1506850.87</v>
      </c>
      <c r="AC1732" s="258">
        <f t="shared" si="1724"/>
        <v>1304315.1000000001</v>
      </c>
      <c r="AD1732" s="258">
        <f t="shared" si="1724"/>
        <v>1200664.46</v>
      </c>
      <c r="AE1732" s="258">
        <f t="shared" si="1724"/>
        <v>1067953.56</v>
      </c>
      <c r="AF1732" s="258">
        <f t="shared" si="1724"/>
        <v>1013940.9199999999</v>
      </c>
      <c r="AG1732" s="258">
        <f t="shared" si="1724"/>
        <v>850628.56</v>
      </c>
      <c r="AH1732" s="258">
        <f t="shared" si="1724"/>
        <v>836617.41999999993</v>
      </c>
      <c r="AI1732" s="258">
        <f t="shared" si="1724"/>
        <v>823054.54</v>
      </c>
      <c r="AJ1732" s="258">
        <f t="shared" si="1724"/>
        <v>810142.91999999993</v>
      </c>
      <c r="AK1732" s="258">
        <f t="shared" si="1724"/>
        <v>797429.56</v>
      </c>
      <c r="AL1732" s="258">
        <f t="shared" si="1724"/>
        <v>784718.44</v>
      </c>
      <c r="AM1732" s="258">
        <f t="shared" si="1724"/>
        <v>667005.56000000006</v>
      </c>
      <c r="AN1732" s="258">
        <f t="shared" si="1724"/>
        <v>597668.93999999994</v>
      </c>
      <c r="AO1732" s="258">
        <f t="shared" si="1724"/>
        <v>590131.56000000006</v>
      </c>
      <c r="AP1732" s="258">
        <f t="shared" si="1724"/>
        <v>507594.42</v>
      </c>
      <c r="AQ1732" s="258">
        <f t="shared" si="1724"/>
        <v>471607.54</v>
      </c>
      <c r="AR1732" s="258">
        <f t="shared" ref="AR1732:AS1732" si="1725">AR1727+AR1731</f>
        <v>411557.4</v>
      </c>
      <c r="AS1732" s="258">
        <f t="shared" si="1725"/>
        <v>195921.26</v>
      </c>
      <c r="AT1732" s="227" t="s">
        <v>11</v>
      </c>
    </row>
    <row r="1733" spans="1:46" s="178" customFormat="1" ht="14.4" thickTop="1" thickBot="1" x14ac:dyDescent="0.3">
      <c r="A1733" s="177"/>
      <c r="B1733" s="177"/>
      <c r="C1733" s="306"/>
      <c r="H1733" s="40"/>
      <c r="I1733" s="40"/>
      <c r="J1733" s="40"/>
      <c r="K1733" s="248"/>
      <c r="L1733" s="181"/>
      <c r="M1733" s="181"/>
      <c r="N1733" s="181"/>
      <c r="O1733" s="181"/>
      <c r="P1733" s="181"/>
      <c r="Q1733" s="181"/>
      <c r="R1733" s="181"/>
      <c r="S1733" s="181"/>
      <c r="T1733" s="181"/>
      <c r="U1733" s="181"/>
      <c r="V1733" s="181"/>
      <c r="W1733" s="181"/>
      <c r="X1733" s="181"/>
      <c r="Y1733" s="181"/>
      <c r="Z1733" s="519"/>
      <c r="AA1733" s="562"/>
      <c r="AB1733" s="181"/>
      <c r="AC1733" s="181"/>
    </row>
    <row r="1734" spans="1:46" s="178" customFormat="1" ht="13.8" thickBot="1" x14ac:dyDescent="0.3">
      <c r="A1734" s="177"/>
      <c r="B1734" s="177"/>
      <c r="C1734" s="306"/>
      <c r="H1734" s="40"/>
      <c r="I1734" s="40"/>
      <c r="J1734" s="340" t="s">
        <v>415</v>
      </c>
      <c r="K1734" s="249"/>
      <c r="L1734" s="238">
        <f t="shared" ref="L1734:M1734" si="1726">L1693+L1702+L1706+L1715+L1727</f>
        <v>7173163.0299999993</v>
      </c>
      <c r="M1734" s="238">
        <f t="shared" si="1726"/>
        <v>7036013.96</v>
      </c>
      <c r="N1734" s="238">
        <f t="shared" ref="N1734" si="1727">N1693+N1702+N1706+N1715+N1727</f>
        <v>7278059.4900000002</v>
      </c>
      <c r="O1734" s="238">
        <f>O1693+O1702+O1706+O1715+O1727</f>
        <v>6385338.7400000002</v>
      </c>
      <c r="P1734" s="238">
        <f>P1693+P1702+P1706+P1715+P1727</f>
        <v>7389526.9699999997</v>
      </c>
      <c r="Q1734" s="238">
        <f>Q1693+Q1702+Q1706+Q1715+Q1727</f>
        <v>7220950.3799999999</v>
      </c>
      <c r="R1734" s="238">
        <f>R1693+R1702+R1706+R1715+R1727</f>
        <v>6160720.7300000004</v>
      </c>
      <c r="S1734" s="238">
        <f>S1693+S1702+S1706+S1715+S1727</f>
        <v>6157904.7299999995</v>
      </c>
      <c r="T1734" s="238">
        <f t="shared" ref="T1734" si="1728">T1693+T1702+T1706+T1715+T1727</f>
        <v>6173332.4900000002</v>
      </c>
      <c r="U1734" s="238">
        <f t="shared" ref="U1734" si="1729">U1693+U1702+U1706+U1715+U1727</f>
        <v>5434793.75</v>
      </c>
      <c r="V1734" s="238">
        <f t="shared" ref="V1734:W1734" si="1730">V1693+V1702+V1706+V1715+V1727</f>
        <v>5665748.75</v>
      </c>
      <c r="W1734" s="238">
        <f t="shared" si="1730"/>
        <v>5072370</v>
      </c>
      <c r="X1734" s="238">
        <f>X1693+X1702+X1715+X1727</f>
        <v>6217015.0199999996</v>
      </c>
      <c r="Y1734" s="238">
        <f t="shared" ref="Y1734:AQ1734" si="1731">Y1693+Y1715+Y1727</f>
        <v>5614824.9900000002</v>
      </c>
      <c r="Z1734" s="238">
        <f t="shared" si="1731"/>
        <v>6901631.1300000008</v>
      </c>
      <c r="AA1734" s="238">
        <f t="shared" si="1731"/>
        <v>6209350.6299999999</v>
      </c>
      <c r="AB1734" s="238">
        <f t="shared" si="1731"/>
        <v>5304973.12</v>
      </c>
      <c r="AC1734" s="238">
        <f t="shared" si="1731"/>
        <v>4663868.75</v>
      </c>
      <c r="AD1734" s="238">
        <f t="shared" si="1731"/>
        <v>4347953.75</v>
      </c>
      <c r="AE1734" s="238">
        <f t="shared" si="1731"/>
        <v>3903656.25</v>
      </c>
      <c r="AF1734" s="238">
        <f t="shared" si="1731"/>
        <v>3667593.75</v>
      </c>
      <c r="AG1734" s="238">
        <f t="shared" si="1731"/>
        <v>2989551.25</v>
      </c>
      <c r="AH1734" s="238">
        <f t="shared" si="1731"/>
        <v>2832618.75</v>
      </c>
      <c r="AI1734" s="238">
        <f t="shared" si="1731"/>
        <v>2351318.75</v>
      </c>
      <c r="AJ1734" s="238">
        <f t="shared" si="1731"/>
        <v>2262743.75</v>
      </c>
      <c r="AK1734" s="238">
        <f t="shared" si="1731"/>
        <v>2142968.75</v>
      </c>
      <c r="AL1734" s="238">
        <f t="shared" si="1731"/>
        <v>2019293.75</v>
      </c>
      <c r="AM1734" s="238">
        <f t="shared" si="1731"/>
        <v>1617518.75</v>
      </c>
      <c r="AN1734" s="238">
        <f t="shared" si="1731"/>
        <v>1322725</v>
      </c>
      <c r="AO1734" s="238">
        <f t="shared" si="1731"/>
        <v>1258837.5</v>
      </c>
      <c r="AP1734" s="238">
        <f t="shared" si="1731"/>
        <v>1063550.01</v>
      </c>
      <c r="AQ1734" s="238">
        <f t="shared" si="1731"/>
        <v>870962.5</v>
      </c>
      <c r="AR1734" s="238">
        <f t="shared" ref="AR1734" si="1732">AR1693+AR1715+AR1727</f>
        <v>633262.5</v>
      </c>
      <c r="AS1734" s="238">
        <f>AS1693+AS1715+AS1727</f>
        <v>203531.26</v>
      </c>
      <c r="AT1734" s="240" t="s">
        <v>11</v>
      </c>
    </row>
    <row r="1735" spans="1:46" s="178" customFormat="1" ht="13.8" thickBot="1" x14ac:dyDescent="0.3">
      <c r="A1735" s="177"/>
      <c r="B1735" s="177"/>
      <c r="C1735" s="306"/>
      <c r="H1735" s="40"/>
      <c r="I1735" s="342"/>
      <c r="J1735" s="295" t="s">
        <v>716</v>
      </c>
      <c r="K1735" s="272"/>
      <c r="L1735" s="273">
        <f t="shared" ref="L1735:O1735" si="1733">L1697+L1710+L1719+L1731</f>
        <v>823063.86</v>
      </c>
      <c r="M1735" s="273">
        <f t="shared" si="1733"/>
        <v>1091337.8400000001</v>
      </c>
      <c r="N1735" s="273">
        <f t="shared" ref="N1735" si="1734">N1697+N1710+N1719+N1731</f>
        <v>1398103.0899999999</v>
      </c>
      <c r="O1735" s="238">
        <f t="shared" si="1733"/>
        <v>1233066.26</v>
      </c>
      <c r="P1735" s="238">
        <f>P1697+P1710+P1719+P1731+P1721</f>
        <v>1704521.3800000001</v>
      </c>
      <c r="Q1735" s="238">
        <f>Q1697+Q1710+Q1719+Q1731</f>
        <v>1630335.7</v>
      </c>
      <c r="R1735" s="238">
        <f>R1697+R1710+R1719+R1731</f>
        <v>1650691.29</v>
      </c>
      <c r="S1735" s="273">
        <f t="shared" ref="S1735:T1735" si="1735">S1697+S1710+S1719+S1731</f>
        <v>1659883.3399999999</v>
      </c>
      <c r="T1735" s="273">
        <f t="shared" si="1735"/>
        <v>1672978.834</v>
      </c>
      <c r="U1735" s="238">
        <f>U1697+U1719+U1731</f>
        <v>1524363.6100000003</v>
      </c>
      <c r="V1735" s="238">
        <f>V1697+V1719</f>
        <v>1293675.2000000002</v>
      </c>
      <c r="W1735" s="238">
        <f t="shared" ref="W1735" si="1736">W1697+W1719</f>
        <v>1295276.6099999999</v>
      </c>
      <c r="X1735" s="238">
        <f>X1719</f>
        <v>1279283.9200000002</v>
      </c>
      <c r="Y1735" s="238">
        <f t="shared" ref="Y1735:AQ1735" si="1737">Y1719+Y1731</f>
        <v>1209142.1199999999</v>
      </c>
      <c r="Z1735" s="238">
        <f t="shared" si="1737"/>
        <v>1474004.9300000002</v>
      </c>
      <c r="AA1735" s="238">
        <f t="shared" si="1737"/>
        <v>1348847.97</v>
      </c>
      <c r="AB1735" s="238">
        <f t="shared" si="1737"/>
        <v>1303642.49</v>
      </c>
      <c r="AC1735" s="238">
        <f t="shared" si="1737"/>
        <v>1260412.52</v>
      </c>
      <c r="AD1735" s="238">
        <f t="shared" si="1737"/>
        <v>1271185.1900000002</v>
      </c>
      <c r="AE1735" s="238">
        <f t="shared" si="1737"/>
        <v>1282236.3700000001</v>
      </c>
      <c r="AF1735" s="238">
        <f t="shared" si="1737"/>
        <v>1226358.4200000002</v>
      </c>
      <c r="AG1735" s="238">
        <f t="shared" si="1737"/>
        <v>1238089.82</v>
      </c>
      <c r="AH1735" s="238">
        <f t="shared" si="1737"/>
        <v>1250119.6599999999</v>
      </c>
      <c r="AI1735" s="238">
        <f t="shared" si="1737"/>
        <v>1262456.19</v>
      </c>
      <c r="AJ1735" s="238">
        <f t="shared" si="1737"/>
        <v>1346101.49</v>
      </c>
      <c r="AK1735" s="238">
        <f t="shared" si="1737"/>
        <v>1384231.06</v>
      </c>
      <c r="AL1735" s="238">
        <f t="shared" si="1737"/>
        <v>1383742.46</v>
      </c>
      <c r="AM1735" s="238">
        <f t="shared" si="1737"/>
        <v>1383240.09</v>
      </c>
      <c r="AN1735" s="238">
        <f t="shared" si="1737"/>
        <v>1382724.04</v>
      </c>
      <c r="AO1735" s="238">
        <f t="shared" si="1737"/>
        <v>1382196.19</v>
      </c>
      <c r="AP1735" s="238">
        <f t="shared" si="1737"/>
        <v>1381653.1300000001</v>
      </c>
      <c r="AQ1735" s="238">
        <f t="shared" si="1737"/>
        <v>1381095.22</v>
      </c>
      <c r="AR1735" s="238">
        <f t="shared" ref="AR1735:AS1735" si="1738">AR1719+AR1731</f>
        <v>703586.73</v>
      </c>
      <c r="AS1735" s="238">
        <f t="shared" si="1738"/>
        <v>545219.90999999992</v>
      </c>
      <c r="AT1735" s="274" t="s">
        <v>11</v>
      </c>
    </row>
    <row r="1736" spans="1:46" s="227" customFormat="1" ht="13.8" thickBot="1" x14ac:dyDescent="0.3">
      <c r="A1736" s="226"/>
      <c r="B1736" s="226"/>
      <c r="C1736" s="311"/>
      <c r="H1736" s="228"/>
      <c r="I1736" s="278" t="s">
        <v>802</v>
      </c>
      <c r="J1736" s="341" t="s">
        <v>5</v>
      </c>
      <c r="K1736" s="251"/>
      <c r="L1736" s="231">
        <f t="shared" ref="L1736:M1736" si="1739">L1734+L1735</f>
        <v>7996226.8899999997</v>
      </c>
      <c r="M1736" s="231">
        <f t="shared" si="1739"/>
        <v>8127351.7999999998</v>
      </c>
      <c r="N1736" s="231">
        <f>N1734+N1735+N1722</f>
        <v>8676162.5800000001</v>
      </c>
      <c r="O1736" s="360">
        <f>O1734+O1735+O1722+O1721</f>
        <v>7641905</v>
      </c>
      <c r="P1736" s="360">
        <f>P1734+P1735</f>
        <v>9094048.3499999996</v>
      </c>
      <c r="Q1736" s="360">
        <f>Q1734+Q1735</f>
        <v>8851286.0800000001</v>
      </c>
      <c r="R1736" s="360">
        <f>R1734+R1735</f>
        <v>7811412.0200000005</v>
      </c>
      <c r="S1736" s="360">
        <f t="shared" ref="S1736:T1736" si="1740">S1734+S1735</f>
        <v>7817788.0699999994</v>
      </c>
      <c r="T1736" s="360">
        <f t="shared" si="1740"/>
        <v>7846311.324</v>
      </c>
      <c r="U1736" s="360">
        <f t="shared" ref="U1736" si="1741">U1734+U1735</f>
        <v>6959157.3600000003</v>
      </c>
      <c r="V1736" s="360">
        <f t="shared" ref="V1736:AG1736" si="1742">V1734+V1735</f>
        <v>6959423.9500000002</v>
      </c>
      <c r="W1736" s="360">
        <f t="shared" si="1742"/>
        <v>6367646.6099999994</v>
      </c>
      <c r="X1736" s="360">
        <f t="shared" ref="X1736" si="1743">X1734+X1735</f>
        <v>7496298.9399999995</v>
      </c>
      <c r="Y1736" s="360">
        <f t="shared" si="1742"/>
        <v>6823967.1100000003</v>
      </c>
      <c r="Z1736" s="360">
        <f t="shared" si="1742"/>
        <v>8375636.0600000005</v>
      </c>
      <c r="AA1736" s="360">
        <f t="shared" si="1742"/>
        <v>7558198.5999999996</v>
      </c>
      <c r="AB1736" s="360">
        <f t="shared" si="1742"/>
        <v>6608615.6100000003</v>
      </c>
      <c r="AC1736" s="360">
        <f t="shared" si="1742"/>
        <v>5924281.2699999996</v>
      </c>
      <c r="AD1736" s="360">
        <f t="shared" si="1742"/>
        <v>5619138.9400000004</v>
      </c>
      <c r="AE1736" s="360">
        <f t="shared" ref="AE1736" si="1744">AE1734+AE1735</f>
        <v>5185892.62</v>
      </c>
      <c r="AF1736" s="360">
        <f t="shared" si="1742"/>
        <v>4893952.17</v>
      </c>
      <c r="AG1736" s="360">
        <f t="shared" si="1742"/>
        <v>4227641.07</v>
      </c>
      <c r="AH1736" s="360">
        <f t="shared" ref="AH1736:AI1736" si="1745">AH1734+AH1735</f>
        <v>4082738.41</v>
      </c>
      <c r="AI1736" s="360">
        <f t="shared" si="1745"/>
        <v>3613774.94</v>
      </c>
      <c r="AJ1736" s="360">
        <f t="shared" ref="AJ1736:AQ1736" si="1746">AJ1734+AJ1735</f>
        <v>3608845.24</v>
      </c>
      <c r="AK1736" s="360">
        <f t="shared" si="1746"/>
        <v>3527199.81</v>
      </c>
      <c r="AL1736" s="360">
        <f t="shared" si="1746"/>
        <v>3403036.21</v>
      </c>
      <c r="AM1736" s="360">
        <f t="shared" si="1746"/>
        <v>3000758.84</v>
      </c>
      <c r="AN1736" s="360">
        <f>AN1734+AN1735</f>
        <v>2705449.04</v>
      </c>
      <c r="AO1736" s="360">
        <f t="shared" si="1746"/>
        <v>2641033.69</v>
      </c>
      <c r="AP1736" s="360">
        <f t="shared" si="1746"/>
        <v>2445203.14</v>
      </c>
      <c r="AQ1736" s="360">
        <f t="shared" si="1746"/>
        <v>2252057.7199999997</v>
      </c>
      <c r="AR1736" s="360">
        <f t="shared" ref="AR1736:AS1736" si="1747">AR1734+AR1735</f>
        <v>1336849.23</v>
      </c>
      <c r="AS1736" s="360">
        <f t="shared" si="1747"/>
        <v>748751.16999999993</v>
      </c>
      <c r="AT1736" s="233" t="s">
        <v>11</v>
      </c>
    </row>
    <row r="1737" spans="1:46" ht="13.8" thickTop="1" x14ac:dyDescent="0.25">
      <c r="G1737" s="1"/>
      <c r="H1737" s="1"/>
      <c r="I1737" s="3"/>
      <c r="J1737" s="3"/>
      <c r="K1737" s="252"/>
      <c r="L1737" s="174"/>
      <c r="M1737" s="174"/>
      <c r="N1737" s="174"/>
      <c r="O1737" s="174"/>
      <c r="P1737" s="174"/>
      <c r="Q1737" s="174"/>
    </row>
  </sheetData>
  <sortState xmlns:xlrd2="http://schemas.microsoft.com/office/spreadsheetml/2017/richdata2" ref="A779:AR816">
    <sortCondition ref="F779:F816"/>
  </sortState>
  <printOptions horizontalCentered="1"/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csweet</dc:creator>
  <cp:lastModifiedBy>Chris Sweet</cp:lastModifiedBy>
  <cp:lastPrinted>2017-01-23T16:02:33Z</cp:lastPrinted>
  <dcterms:created xsi:type="dcterms:W3CDTF">2012-09-20T20:03:45Z</dcterms:created>
  <dcterms:modified xsi:type="dcterms:W3CDTF">2025-04-30T20:18:04Z</dcterms:modified>
</cp:coreProperties>
</file>